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biserov_ns\Desktop\"/>
    </mc:Choice>
  </mc:AlternateContent>
  <bookViews>
    <workbookView xWindow="0" yWindow="60" windowWidth="28800" windowHeight="14070"/>
  </bookViews>
  <sheets>
    <sheet name="Железо" sheetId="5" r:id="rId1"/>
    <sheet name="Ветер2" sheetId="15" r:id="rId2"/>
  </sheets>
  <definedNames>
    <definedName name="_xlnm._FilterDatabase" localSheetId="1" hidden="1">Ветер2!$A$17:$U$18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5" l="1"/>
  <c r="B21" i="15"/>
  <c r="B22" i="15"/>
  <c r="B23" i="15"/>
  <c r="B24" i="15"/>
  <c r="B25" i="15"/>
  <c r="B26" i="15"/>
  <c r="B27" i="15"/>
  <c r="B20" i="15"/>
  <c r="B19" i="15"/>
  <c r="B7" i="15"/>
  <c r="B6" i="15" l="1"/>
  <c r="D27" i="5" l="1"/>
  <c r="C27" i="5"/>
  <c r="D22" i="5" l="1"/>
  <c r="E28" i="15" l="1"/>
  <c r="F28" i="15" s="1"/>
  <c r="C28" i="15"/>
  <c r="D28" i="15" s="1"/>
  <c r="E27" i="15"/>
  <c r="F27" i="15" s="1"/>
  <c r="C27" i="15"/>
  <c r="D27" i="15" s="1"/>
  <c r="E26" i="15"/>
  <c r="F26" i="15" s="1"/>
  <c r="C26" i="15"/>
  <c r="D26" i="15" s="1"/>
  <c r="E25" i="15"/>
  <c r="F25" i="15" s="1"/>
  <c r="C25" i="15"/>
  <c r="D25" i="15" s="1"/>
  <c r="E24" i="15"/>
  <c r="F24" i="15" s="1"/>
  <c r="C24" i="15"/>
  <c r="D24" i="15" s="1"/>
  <c r="C3" i="5" s="1"/>
  <c r="B10" i="15" s="1"/>
  <c r="E23" i="15"/>
  <c r="F23" i="15" s="1"/>
  <c r="C23" i="15"/>
  <c r="D23" i="15" s="1"/>
  <c r="E22" i="15"/>
  <c r="F22" i="15" s="1"/>
  <c r="C22" i="15"/>
  <c r="D22" i="15" s="1"/>
  <c r="E21" i="15"/>
  <c r="F21" i="15" s="1"/>
  <c r="C21" i="15"/>
  <c r="D21" i="15" s="1"/>
  <c r="E20" i="15"/>
  <c r="F20" i="15" s="1"/>
  <c r="C20" i="15"/>
  <c r="D20" i="15" s="1"/>
  <c r="E19" i="15"/>
  <c r="F19" i="15" s="1"/>
  <c r="C19" i="15"/>
  <c r="D19" i="15" s="1"/>
  <c r="S20" i="15" l="1"/>
  <c r="S25" i="15"/>
  <c r="S28" i="15"/>
  <c r="S21" i="15"/>
  <c r="S24" i="15"/>
  <c r="S26" i="15"/>
  <c r="S19" i="15"/>
  <c r="S23" i="15"/>
  <c r="S27" i="15"/>
  <c r="S22" i="15"/>
  <c r="C22" i="5" l="1"/>
  <c r="C18" i="5" l="1"/>
  <c r="C8" i="5"/>
  <c r="C14" i="5" s="1"/>
  <c r="C15" i="5" s="1"/>
  <c r="C16" i="5" s="1"/>
  <c r="C17" i="5" s="1"/>
  <c r="D30" i="5" l="1"/>
  <c r="C30" i="5"/>
  <c r="C32" i="5" s="1"/>
  <c r="C23" i="5"/>
  <c r="H20" i="5" s="1"/>
  <c r="D23" i="5"/>
  <c r="C25" i="5"/>
  <c r="C28" i="5"/>
  <c r="D25" i="5"/>
  <c r="D28" i="5"/>
  <c r="B13" i="15" l="1"/>
  <c r="B12" i="15" s="1"/>
  <c r="B9" i="15"/>
  <c r="B11" i="15" s="1"/>
  <c r="D32" i="5"/>
  <c r="C31" i="5"/>
  <c r="C33" i="5" s="1"/>
  <c r="D31" i="5"/>
  <c r="D33" i="5" s="1"/>
  <c r="C24" i="5"/>
  <c r="C37" i="5" s="1"/>
  <c r="C38" i="5" s="1"/>
  <c r="D24" i="5"/>
  <c r="B15" i="15" l="1"/>
  <c r="B14" i="15"/>
  <c r="D37" i="5"/>
  <c r="D38" i="5" s="1"/>
  <c r="G19" i="15"/>
  <c r="L19" i="15" s="1"/>
  <c r="G27" i="15"/>
  <c r="L27" i="15" s="1"/>
  <c r="G25" i="15"/>
  <c r="L25" i="15" s="1"/>
  <c r="G28" i="15"/>
  <c r="L28" i="15" s="1"/>
  <c r="G24" i="15"/>
  <c r="L24" i="15" s="1"/>
  <c r="G26" i="15"/>
  <c r="L26" i="15" s="1"/>
  <c r="G22" i="15"/>
  <c r="L22" i="15" s="1"/>
  <c r="G20" i="15"/>
  <c r="L20" i="15" s="1"/>
  <c r="G23" i="15"/>
  <c r="L23" i="15" s="1"/>
  <c r="G21" i="15"/>
  <c r="L21" i="15" s="1"/>
  <c r="D34" i="5"/>
  <c r="D29" i="5"/>
  <c r="C34" i="5"/>
  <c r="C35" i="5" s="1"/>
  <c r="C36" i="5" s="1"/>
  <c r="C29" i="5"/>
  <c r="D35" i="5" l="1"/>
  <c r="D36" i="5" s="1"/>
  <c r="I24" i="15"/>
  <c r="K24" i="15" s="1"/>
  <c r="H24" i="15"/>
  <c r="J24" i="15" s="1"/>
  <c r="I23" i="15"/>
  <c r="K23" i="15" s="1"/>
  <c r="H23" i="15"/>
  <c r="J23" i="15" s="1"/>
  <c r="I19" i="15"/>
  <c r="K19" i="15" s="1"/>
  <c r="H19" i="15"/>
  <c r="J19" i="15" s="1"/>
  <c r="H20" i="15"/>
  <c r="J20" i="15" s="1"/>
  <c r="I20" i="15"/>
  <c r="K20" i="15" s="1"/>
  <c r="H27" i="15"/>
  <c r="J27" i="15" s="1"/>
  <c r="I27" i="15"/>
  <c r="K27" i="15" s="1"/>
  <c r="I21" i="15"/>
  <c r="K21" i="15" s="1"/>
  <c r="H21" i="15"/>
  <c r="J21" i="15" s="1"/>
  <c r="H22" i="15"/>
  <c r="J22" i="15" s="1"/>
  <c r="I22" i="15"/>
  <c r="K22" i="15" s="1"/>
  <c r="I26" i="15"/>
  <c r="K26" i="15" s="1"/>
  <c r="H26" i="15"/>
  <c r="J26" i="15" s="1"/>
  <c r="H28" i="15"/>
  <c r="J28" i="15" s="1"/>
  <c r="I28" i="15"/>
  <c r="K28" i="15" s="1"/>
  <c r="H25" i="15"/>
  <c r="J25" i="15" s="1"/>
  <c r="I25" i="15"/>
  <c r="K25" i="15" s="1"/>
  <c r="M26" i="15" l="1"/>
  <c r="O26" i="15"/>
  <c r="N27" i="15"/>
  <c r="P27" i="15"/>
  <c r="N22" i="15"/>
  <c r="P22" i="15"/>
  <c r="M23" i="15"/>
  <c r="O23" i="15"/>
  <c r="O22" i="15"/>
  <c r="M22" i="15"/>
  <c r="P23" i="15"/>
  <c r="N23" i="15"/>
  <c r="N26" i="15"/>
  <c r="P26" i="15"/>
  <c r="O27" i="15"/>
  <c r="M27" i="15"/>
  <c r="N28" i="15"/>
  <c r="P28" i="15"/>
  <c r="O21" i="15"/>
  <c r="M21" i="15"/>
  <c r="M24" i="15"/>
  <c r="O24" i="15"/>
  <c r="N24" i="15"/>
  <c r="P24" i="15"/>
  <c r="P21" i="15"/>
  <c r="N21" i="15"/>
  <c r="N25" i="15"/>
  <c r="P25" i="15"/>
  <c r="P20" i="15"/>
  <c r="N20" i="15"/>
  <c r="O19" i="15"/>
  <c r="M19" i="15"/>
  <c r="M28" i="15"/>
  <c r="O28" i="15"/>
  <c r="O25" i="15"/>
  <c r="M25" i="15"/>
  <c r="M20" i="15"/>
  <c r="O20" i="15"/>
  <c r="N19" i="15"/>
  <c r="P19" i="15"/>
  <c r="Q28" i="15" l="1"/>
  <c r="T28" i="15" s="1"/>
  <c r="Q20" i="15"/>
  <c r="T20" i="15" s="1"/>
  <c r="R25" i="15"/>
  <c r="U25" i="15" s="1"/>
  <c r="R24" i="15"/>
  <c r="U24" i="15" s="1"/>
  <c r="Q24" i="15"/>
  <c r="T24" i="15" s="1"/>
  <c r="R28" i="15"/>
  <c r="U28" i="15" s="1"/>
  <c r="R19" i="15"/>
  <c r="U19" i="15" s="1"/>
  <c r="Q23" i="15"/>
  <c r="T23" i="15" s="1"/>
  <c r="R26" i="15"/>
  <c r="U26" i="15" s="1"/>
  <c r="R22" i="15"/>
  <c r="U22" i="15" s="1"/>
  <c r="Q19" i="15"/>
  <c r="T19" i="15" s="1"/>
  <c r="Q21" i="15"/>
  <c r="T21" i="15" s="1"/>
  <c r="R23" i="15"/>
  <c r="U23" i="15" s="1"/>
  <c r="R20" i="15"/>
  <c r="U20" i="15" s="1"/>
  <c r="Q22" i="15"/>
  <c r="T22" i="15" s="1"/>
  <c r="R21" i="15"/>
  <c r="U21" i="15" s="1"/>
  <c r="Q27" i="15"/>
  <c r="T27" i="15" s="1"/>
  <c r="Q25" i="15"/>
  <c r="T25" i="15" s="1"/>
  <c r="R27" i="15"/>
  <c r="U27" i="15" s="1"/>
  <c r="Q26" i="15"/>
  <c r="T26" i="15" s="1"/>
</calcChain>
</file>

<file path=xl/sharedStrings.xml><?xml version="1.0" encoding="utf-8"?>
<sst xmlns="http://schemas.openxmlformats.org/spreadsheetml/2006/main" count="141" uniqueCount="116">
  <si>
    <t>Формула Лоренца Iампл*R=V*B*L</t>
  </si>
  <si>
    <t>Количество фаз генератора</t>
  </si>
  <si>
    <t>Вт</t>
  </si>
  <si>
    <t>Ом</t>
  </si>
  <si>
    <t>шт.</t>
  </si>
  <si>
    <t>Полная мощность генератора</t>
  </si>
  <si>
    <r>
      <t>А/мм</t>
    </r>
    <r>
      <rPr>
        <sz val="11"/>
        <color theme="1"/>
        <rFont val="Calibri"/>
        <family val="2"/>
        <charset val="204"/>
      </rPr>
      <t>²</t>
    </r>
  </si>
  <si>
    <t>А</t>
  </si>
  <si>
    <r>
      <t>мм</t>
    </r>
    <r>
      <rPr>
        <sz val="11"/>
        <color theme="1"/>
        <rFont val="Calibri"/>
        <family val="2"/>
        <charset val="204"/>
      </rPr>
      <t>²</t>
    </r>
  </si>
  <si>
    <t>Потребный диаметр провода</t>
  </si>
  <si>
    <t>мм</t>
  </si>
  <si>
    <t>Максимально допустимая плотность тока J</t>
  </si>
  <si>
    <t>J</t>
  </si>
  <si>
    <t>P</t>
  </si>
  <si>
    <r>
      <t>I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ампл.</t>
    </r>
  </si>
  <si>
    <t>D</t>
  </si>
  <si>
    <t>S</t>
  </si>
  <si>
    <t>Площадь сечения провода выбранного</t>
  </si>
  <si>
    <r>
      <t>R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Ф</t>
    </r>
  </si>
  <si>
    <t>Мощность нагрева фазы (потери на тепло одной фазы)</t>
  </si>
  <si>
    <t>Выбранный диматер провода</t>
  </si>
  <si>
    <r>
      <t>n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Ф</t>
    </r>
  </si>
  <si>
    <r>
      <t>I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ср.кв.</t>
    </r>
  </si>
  <si>
    <t>Мощность нагрева всех фаз (потери на тепло генератора)</t>
  </si>
  <si>
    <t>Сопротивление одного метра провода заданного сечения</t>
  </si>
  <si>
    <t>м</t>
  </si>
  <si>
    <t>Масса меди в генераторе</t>
  </si>
  <si>
    <r>
      <t>m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меди</t>
    </r>
  </si>
  <si>
    <t>кг</t>
  </si>
  <si>
    <t>Индукция в воздушном зазоре</t>
  </si>
  <si>
    <t>B</t>
  </si>
  <si>
    <t>Тл</t>
  </si>
  <si>
    <t>РемЭл рекомендует 0,35 Тл</t>
  </si>
  <si>
    <t>Частота вращения ротора</t>
  </si>
  <si>
    <t>об/мин.</t>
  </si>
  <si>
    <t>В</t>
  </si>
  <si>
    <t>Исходные данные</t>
  </si>
  <si>
    <t>Магнитный поток</t>
  </si>
  <si>
    <t>Ф</t>
  </si>
  <si>
    <t>h</t>
  </si>
  <si>
    <t>Вб</t>
  </si>
  <si>
    <t>Поток равен S*B</t>
  </si>
  <si>
    <t>Скорость изменения магнитного потока</t>
  </si>
  <si>
    <t>dФ/dt</t>
  </si>
  <si>
    <t>Напряжение в одном витке</t>
  </si>
  <si>
    <t>Амплитудное напряжение</t>
  </si>
  <si>
    <r>
      <t>U</t>
    </r>
    <r>
      <rPr>
        <b/>
        <vertAlign val="subscript"/>
        <sz val="11"/>
        <color theme="1"/>
        <rFont val="Calibri"/>
        <family val="2"/>
        <charset val="204"/>
        <scheme val="minor"/>
      </rPr>
      <t>а</t>
    </r>
  </si>
  <si>
    <t>Среднеквадратичное напряжение</t>
  </si>
  <si>
    <t>Сопротивление фазы</t>
  </si>
  <si>
    <t>Количество витков в катушке</t>
  </si>
  <si>
    <t>витков</t>
  </si>
  <si>
    <t>Количество катушек в фазе</t>
  </si>
  <si>
    <t>Сила тока в обмотке фазы выбр</t>
  </si>
  <si>
    <t>Среднеквадратичное значение плотности тока в фазе I/корень из 2</t>
  </si>
  <si>
    <t>Полезная мощность генератора</t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</si>
  <si>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 xml:space="preserve"> НАГРЕВ</t>
    </r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</si>
  <si>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НАГРЕВ</t>
    </r>
    <r>
      <rPr>
        <b/>
        <sz val="11"/>
        <color theme="1"/>
        <rFont val="Calibri"/>
        <family val="2"/>
        <charset val="204"/>
        <scheme val="minor"/>
      </rPr>
      <t>=I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>*R</t>
    </r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</si>
  <si>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el</t>
    </r>
  </si>
  <si>
    <t>Напряжение после моста Ларионова</t>
  </si>
  <si>
    <t>Количество магнитов на одном диске ротора</t>
  </si>
  <si>
    <t>Высота полюса</t>
  </si>
  <si>
    <t>Ширина полюса</t>
  </si>
  <si>
    <t>Количество полюсов в катушке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</si>
  <si>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</si>
  <si>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Площадь полюса в катушке (потокосцепления)</t>
  </si>
  <si>
    <t>Количество слоев провода</t>
  </si>
  <si>
    <t>Количество аккумуляторов</t>
  </si>
  <si>
    <t>Сопротивление нагрузки</t>
  </si>
  <si>
    <r>
      <t>R</t>
    </r>
    <r>
      <rPr>
        <b/>
        <vertAlign val="subscript"/>
        <sz val="11"/>
        <color theme="1"/>
        <rFont val="Calibri"/>
        <family val="2"/>
        <charset val="204"/>
        <scheme val="minor"/>
      </rPr>
      <t>нагр</t>
    </r>
  </si>
  <si>
    <t>КИЭВ</t>
  </si>
  <si>
    <t>Быстроходность</t>
  </si>
  <si>
    <t>Плотность воздуха</t>
  </si>
  <si>
    <r>
      <t>кг/м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</si>
  <si>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Время действия ветра</t>
  </si>
  <si>
    <t>с</t>
  </si>
  <si>
    <t>Плотность тока</t>
  </si>
  <si>
    <r>
      <t>А/мм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</si>
  <si>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Диаметр колеса, м</t>
  </si>
  <si>
    <r>
      <t>Площадь ветроколеса,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</si>
  <si>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Мощность ветра, Вт</t>
  </si>
  <si>
    <t>Мощность с генератора, Вт</t>
  </si>
  <si>
    <t>Длина окружности</t>
  </si>
  <si>
    <t>Частота вращения</t>
  </si>
  <si>
    <t>Скорость ветра, м/с</t>
  </si>
  <si>
    <t>Напряжение фазное</t>
  </si>
  <si>
    <t>Характеристика ЭДС фазы, В/оборот_в_мин</t>
  </si>
  <si>
    <t>Напряжение фазы действующее,В</t>
  </si>
  <si>
    <t>обороты</t>
  </si>
  <si>
    <t>Напряжение/оборот, В/об/мин.</t>
  </si>
  <si>
    <t>Напряжение аккум.</t>
  </si>
  <si>
    <t>В/об/мин.</t>
  </si>
  <si>
    <t>Макс. Ток D</t>
  </si>
  <si>
    <t>Макс. Ток Y</t>
  </si>
  <si>
    <t>Сопротивление ген. D</t>
  </si>
  <si>
    <t>Сопротивление ген. Y</t>
  </si>
  <si>
    <t>Напряжение фазы действ.</t>
  </si>
  <si>
    <t>Напряж. =D</t>
  </si>
  <si>
    <t>Напряж. =Y</t>
  </si>
  <si>
    <t>Ток заряда D</t>
  </si>
  <si>
    <t>Ток заряда Y</t>
  </si>
  <si>
    <t>Мощн. На заряд D</t>
  </si>
  <si>
    <t>Мощн. На заряд Y</t>
  </si>
  <si>
    <t>Потери D</t>
  </si>
  <si>
    <t>Потери Y</t>
  </si>
  <si>
    <t>Мощность D</t>
  </si>
  <si>
    <t>Мощность Y</t>
  </si>
  <si>
    <t>КПД</t>
  </si>
  <si>
    <t>%</t>
  </si>
  <si>
    <t>Диаметр скругления катушки</t>
  </si>
  <si>
    <t>Запас катушки</t>
  </si>
  <si>
    <t>КПД Y</t>
  </si>
  <si>
    <t>КПД D</t>
  </si>
  <si>
    <t>Диаметр винта</t>
  </si>
  <si>
    <t>Длина обмотки фазы</t>
  </si>
  <si>
    <r>
      <t>Выбирается 10-15 А/мм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</si>
  <si>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>Ток генер.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</si>
</sst>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b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6" xfId="0" applyBorder="1" applyAlignment="1">
      <alignment vertical="top" wrapText="1"/>
    </xf>
    <xf numFmtId="0" fontId="0" fillId="0" borderId="6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3" borderId="0" xfId="0" applyFont="1" applyFill="1" applyBorder="1"/>
    <xf numFmtId="0" fontId="0" fillId="0" borderId="1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3" borderId="5" xfId="0" applyFont="1" applyFill="1" applyBorder="1"/>
    <xf numFmtId="0" fontId="0" fillId="0" borderId="2" xfId="0" applyFont="1" applyBorder="1"/>
    <xf numFmtId="0" fontId="0" fillId="0" borderId="5" xfId="0" applyFont="1" applyBorder="1"/>
    <xf numFmtId="0" fontId="0" fillId="0" borderId="3" xfId="0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2" borderId="6" xfId="0" applyFill="1" applyBorder="1"/>
    <xf numFmtId="0" fontId="0" fillId="0" borderId="6" xfId="0" applyBorder="1"/>
    <xf numFmtId="0" fontId="0" fillId="0" borderId="7" xfId="0" applyBorder="1"/>
    <xf numFmtId="0" fontId="2" fillId="4" borderId="6" xfId="0" applyFont="1" applyFill="1" applyBorder="1"/>
    <xf numFmtId="0" fontId="6" fillId="0" borderId="6" xfId="0" applyFont="1" applyBorder="1"/>
    <xf numFmtId="0" fontId="8" fillId="0" borderId="6" xfId="0" applyFont="1" applyBorder="1"/>
    <xf numFmtId="0" fontId="9" fillId="0" borderId="6" xfId="0" applyFont="1" applyFill="1" applyBorder="1"/>
    <xf numFmtId="0" fontId="2" fillId="0" borderId="6" xfId="0" applyFont="1" applyBorder="1"/>
    <xf numFmtId="0" fontId="0" fillId="0" borderId="6" xfId="0" applyFont="1" applyBorder="1"/>
    <xf numFmtId="0" fontId="0" fillId="0" borderId="6" xfId="0" applyFill="1" applyBorder="1"/>
    <xf numFmtId="0" fontId="2" fillId="0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0" xfId="0" applyFont="1" applyFill="1" applyBorder="1"/>
    <xf numFmtId="0" fontId="2" fillId="4" borderId="7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-0.25098422193060094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 мощностей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7765163715769009E-2"/>
          <c:y val="9.9082919935819136E-2"/>
          <c:w val="0.95917840666392473"/>
          <c:h val="0.81317413467042587"/>
        </c:manualLayout>
      </c:layout>
      <c:scatterChart>
        <c:scatterStyle val="smoothMarker"/>
        <c:varyColors val="0"/>
        <c:ser>
          <c:idx val="0"/>
          <c:order val="0"/>
          <c:tx>
            <c:v>Звезда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Ветер2!$A$19:$A$28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xVal>
          <c:yVal>
            <c:numRef>
              <c:f>Ветер2!$R$19:$R$28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58.78400409961646</c:v>
                </c:pt>
                <c:pt idx="4">
                  <c:v>181.48810880988498</c:v>
                </c:pt>
                <c:pt idx="5">
                  <c:v>338.25867624561687</c:v>
                </c:pt>
                <c:pt idx="6">
                  <c:v>529.09570640681147</c:v>
                </c:pt>
                <c:pt idx="7">
                  <c:v>753.99919929346913</c:v>
                </c:pt>
                <c:pt idx="8">
                  <c:v>1012.969154905591</c:v>
                </c:pt>
                <c:pt idx="9">
                  <c:v>1306.0055732431747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07-43FB-BE02-B461D90A488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Ветер2!$A$19:$A$28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xVal>
          <c:yVal>
            <c:numRef>
              <c:f>Ветер2!#REF!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07-43FB-BE02-B461D90A488B}"/>
            </c:ext>
          </c:extLst>
        </c:ser>
        <c:ser>
          <c:idx val="2"/>
          <c:order val="2"/>
          <c:tx>
            <c:v>Ветер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Ветер2!$A$19:$A$28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xVal>
          <c:yVal>
            <c:numRef>
              <c:f>Ветер2!$S$19:$S$28</c:f>
              <c:numCache>
                <c:formatCode>General</c:formatCode>
                <c:ptCount val="10"/>
                <c:pt idx="0">
                  <c:v>18.67644757290838</c:v>
                </c:pt>
                <c:pt idx="1">
                  <c:v>44.270097950597645</c:v>
                </c:pt>
                <c:pt idx="2">
                  <c:v>86.465035059761036</c:v>
                </c:pt>
                <c:pt idx="3">
                  <c:v>149.41158058326704</c:v>
                </c:pt>
                <c:pt idx="4">
                  <c:v>237.26005620398428</c:v>
                </c:pt>
                <c:pt idx="5">
                  <c:v>354.16078360478116</c:v>
                </c:pt>
                <c:pt idx="6">
                  <c:v>504.26408446852628</c:v>
                </c:pt>
                <c:pt idx="7">
                  <c:v>691.72028047808828</c:v>
                </c:pt>
                <c:pt idx="8">
                  <c:v>920.67969331633537</c:v>
                </c:pt>
                <c:pt idx="9">
                  <c:v>1195.2926446661363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07-43FB-BE02-B461D90A488B}"/>
            </c:ext>
          </c:extLst>
        </c:ser>
        <c:ser>
          <c:idx val="3"/>
          <c:order val="3"/>
          <c:tx>
            <c:v>Треуг.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Ветер2!$A$19:$A$28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xVal>
          <c:yVal>
            <c:numRef>
              <c:f>Ветер2!$Q$19:$Q$28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74.057775038306488</c:v>
                </c:pt>
                <c:pt idx="8">
                  <c:v>212.04829904981096</c:v>
                </c:pt>
                <c:pt idx="9">
                  <c:v>375.33421259750389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07-43FB-BE02-B461D90A4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766320"/>
        <c:axId val="1897760912"/>
      </c:scatterChart>
      <c:valAx>
        <c:axId val="1897766320"/>
        <c:scaling>
          <c:orientation val="minMax"/>
          <c:max val="12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760912"/>
        <c:crosses val="autoZero"/>
        <c:crossBetween val="midCat"/>
      </c:valAx>
      <c:valAx>
        <c:axId val="189776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766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2" name="AutoShape 1" descr="http://nii-uralmet.narod.ru/articles/3/article03.files/table3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3" name="AutoShape 2" descr="http://nii-uralmet.narod.ru/articles/3/article03.files/table3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114300</xdr:rowOff>
    </xdr:to>
    <xdr:sp macro="" textlink="">
      <xdr:nvSpPr>
        <xdr:cNvPr id="4" name="AutoShape 4" descr="http://nii-uralmet.narod.ru/articles/3/article03.files/table3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38</xdr:row>
      <xdr:rowOff>104774</xdr:rowOff>
    </xdr:from>
    <xdr:ext cx="6124575" cy="809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0" y="8820149"/>
              <a:ext cx="612457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𝑒𝑙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𝑛</m:t>
                                    </m:r>
                                  </m:sub>
                                </m:sSub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US" sz="20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𝑣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b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en-US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b>
                                <m:r>
                                  <a:rPr lang="en-US" sz="2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𝑣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𝑠𝑟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𝑠𝑟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60</m:t>
                        </m:r>
                      </m:den>
                    </m:f>
                  </m:oMath>
                </m:oMathPara>
              </a14:m>
              <a:endParaRPr lang="ru-RU" sz="20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0" y="8820149"/>
              <a:ext cx="6124575" cy="809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𝑃_𝑒𝑙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=𝜋^2×((𝐷_𝑛+𝐷_𝑣)/2)^2×((𝐷_𝑛−𝐷_𝑣)/2)×𝐵_𝑠𝑟×𝐴_𝑠𝑟×𝑛/60</a:t>
              </a:r>
              <a:endParaRPr lang="ru-RU" sz="2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21</xdr:col>
      <xdr:colOff>0</xdr:colOff>
      <xdr:row>15</xdr:row>
      <xdr:rowOff>114299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>
      <selection activeCell="C13" sqref="C13"/>
    </sheetView>
  </sheetViews>
  <sheetFormatPr defaultRowHeight="15" x14ac:dyDescent="0.25"/>
  <cols>
    <col min="1" max="1" width="41.5703125" style="1" customWidth="1"/>
    <col min="2" max="2" width="7.42578125" style="2" customWidth="1"/>
    <col min="3" max="3" width="12" style="2" bestFit="1" customWidth="1"/>
    <col min="4" max="4" width="12.28515625" customWidth="1"/>
    <col min="5" max="5" width="9.140625" style="3"/>
    <col min="6" max="6" width="28.42578125" style="1" bestFit="1" customWidth="1"/>
    <col min="7" max="7" width="3.7109375" customWidth="1"/>
    <col min="8" max="8" width="11" style="1" bestFit="1" customWidth="1"/>
    <col min="12" max="12" width="18.7109375" customWidth="1"/>
  </cols>
  <sheetData>
    <row r="1" spans="1:6" s="4" customFormat="1" x14ac:dyDescent="0.25">
      <c r="A1" s="4" t="s">
        <v>36</v>
      </c>
    </row>
    <row r="2" spans="1:6" ht="18" x14ac:dyDescent="0.35">
      <c r="A2" s="1" t="s">
        <v>0</v>
      </c>
      <c r="B2" s="2" t="s">
        <v>14</v>
      </c>
    </row>
    <row r="3" spans="1:6" x14ac:dyDescent="0.25">
      <c r="A3" s="1" t="s">
        <v>33</v>
      </c>
      <c r="C3" s="26">
        <f>Ветер2!D24</f>
        <v>412.942555049242</v>
      </c>
      <c r="D3" s="27"/>
      <c r="E3" s="3" t="s">
        <v>34</v>
      </c>
    </row>
    <row r="4" spans="1:6" x14ac:dyDescent="0.25">
      <c r="A4" s="1" t="s">
        <v>29</v>
      </c>
      <c r="B4" s="2" t="s">
        <v>30</v>
      </c>
      <c r="C4" s="29">
        <v>0.6</v>
      </c>
      <c r="D4" s="27"/>
      <c r="E4" s="3" t="s">
        <v>31</v>
      </c>
      <c r="F4" s="1" t="s">
        <v>32</v>
      </c>
    </row>
    <row r="5" spans="1:6" x14ac:dyDescent="0.25">
      <c r="A5" s="1" t="s">
        <v>60</v>
      </c>
      <c r="B5" s="2" t="s">
        <v>39</v>
      </c>
      <c r="C5" s="29">
        <v>40</v>
      </c>
      <c r="D5" s="27"/>
      <c r="E5" s="3" t="s">
        <v>10</v>
      </c>
    </row>
    <row r="6" spans="1:6" x14ac:dyDescent="0.25">
      <c r="A6" s="1" t="s">
        <v>61</v>
      </c>
      <c r="C6" s="29">
        <v>4.4000000000000004</v>
      </c>
      <c r="D6" s="27"/>
      <c r="E6" s="3" t="s">
        <v>10</v>
      </c>
    </row>
    <row r="7" spans="1:6" x14ac:dyDescent="0.25">
      <c r="A7" s="1" t="s">
        <v>62</v>
      </c>
      <c r="C7" s="29">
        <v>2</v>
      </c>
      <c r="D7" s="27"/>
    </row>
    <row r="8" spans="1:6" ht="30" x14ac:dyDescent="0.25">
      <c r="A8" s="1" t="s">
        <v>64</v>
      </c>
      <c r="C8" s="27">
        <f>C5*C6*C7/1000000</f>
        <v>3.5199999999999999E-4</v>
      </c>
      <c r="D8" s="27"/>
      <c r="E8" s="3" t="s">
        <v>63</v>
      </c>
    </row>
    <row r="9" spans="1:6" ht="30" x14ac:dyDescent="0.25">
      <c r="A9" s="1" t="s">
        <v>59</v>
      </c>
      <c r="C9" s="29">
        <v>20</v>
      </c>
      <c r="D9" s="27"/>
      <c r="E9" s="3" t="s">
        <v>4</v>
      </c>
    </row>
    <row r="10" spans="1:6" x14ac:dyDescent="0.25">
      <c r="A10" s="1" t="s">
        <v>51</v>
      </c>
      <c r="C10" s="29">
        <v>8</v>
      </c>
      <c r="D10" s="27"/>
    </row>
    <row r="11" spans="1:6" x14ac:dyDescent="0.25">
      <c r="A11" s="1" t="s">
        <v>108</v>
      </c>
      <c r="C11" s="29">
        <v>20</v>
      </c>
      <c r="D11" s="27" t="s">
        <v>10</v>
      </c>
      <c r="E11" s="24"/>
    </row>
    <row r="12" spans="1:6" x14ac:dyDescent="0.25">
      <c r="A12" s="1" t="s">
        <v>109</v>
      </c>
      <c r="C12" s="29">
        <v>10</v>
      </c>
      <c r="D12" s="27" t="s">
        <v>10</v>
      </c>
      <c r="E12" s="24"/>
    </row>
    <row r="13" spans="1:6" ht="17.25" x14ac:dyDescent="0.25">
      <c r="A13" s="1" t="s">
        <v>11</v>
      </c>
      <c r="B13" s="2" t="s">
        <v>12</v>
      </c>
      <c r="C13" s="29">
        <v>10</v>
      </c>
      <c r="D13" s="27"/>
      <c r="E13" s="3" t="s">
        <v>6</v>
      </c>
      <c r="F13" s="1" t="s">
        <v>114</v>
      </c>
    </row>
    <row r="14" spans="1:6" x14ac:dyDescent="0.25">
      <c r="A14" s="1" t="s">
        <v>37</v>
      </c>
      <c r="B14" s="2" t="s">
        <v>38</v>
      </c>
      <c r="C14" s="27">
        <f>C4*C8</f>
        <v>2.1119999999999998E-4</v>
      </c>
      <c r="D14" s="27"/>
      <c r="E14" s="3" t="s">
        <v>40</v>
      </c>
      <c r="F14" s="1" t="s">
        <v>41</v>
      </c>
    </row>
    <row r="15" spans="1:6" x14ac:dyDescent="0.25">
      <c r="A15" s="1" t="s">
        <v>42</v>
      </c>
      <c r="B15" s="2" t="s">
        <v>43</v>
      </c>
      <c r="C15" s="27">
        <f>C14/(1/(C3/60)/(C9))</f>
        <v>2.9071155875466635E-2</v>
      </c>
      <c r="D15" s="27"/>
      <c r="E15" s="3" t="s">
        <v>35</v>
      </c>
      <c r="F15" s="1" t="s">
        <v>44</v>
      </c>
    </row>
    <row r="16" spans="1:6" ht="18" x14ac:dyDescent="0.35">
      <c r="A16" s="1" t="s">
        <v>45</v>
      </c>
      <c r="B16" s="2" t="s">
        <v>46</v>
      </c>
      <c r="C16" s="27">
        <f>C15*2</f>
        <v>5.8142311750933269E-2</v>
      </c>
      <c r="D16" s="27"/>
      <c r="E16" s="3" t="s">
        <v>35</v>
      </c>
    </row>
    <row r="17" spans="1:12" x14ac:dyDescent="0.25">
      <c r="A17" s="1" t="s">
        <v>47</v>
      </c>
      <c r="C17" s="27">
        <f>C16/SQRT(2)</f>
        <v>4.1112822912947197E-2</v>
      </c>
      <c r="D17" s="27"/>
      <c r="E17" s="3" t="s">
        <v>35</v>
      </c>
    </row>
    <row r="18" spans="1:12" ht="31.5" x14ac:dyDescent="0.35">
      <c r="A18" s="1" t="s">
        <v>53</v>
      </c>
      <c r="B18" s="2" t="s">
        <v>22</v>
      </c>
      <c r="C18" s="27">
        <f>C13/SQRT(2)</f>
        <v>7.0710678118654746</v>
      </c>
      <c r="D18" s="27"/>
      <c r="E18" s="3" t="s">
        <v>7</v>
      </c>
    </row>
    <row r="19" spans="1:12" ht="18" x14ac:dyDescent="0.35">
      <c r="A19" s="1" t="s">
        <v>1</v>
      </c>
      <c r="B19" s="2" t="s">
        <v>21</v>
      </c>
      <c r="C19" s="42">
        <v>3</v>
      </c>
      <c r="D19" s="28"/>
      <c r="E19" s="3" t="s">
        <v>4</v>
      </c>
    </row>
    <row r="20" spans="1:12" x14ac:dyDescent="0.25">
      <c r="A20" s="1" t="s">
        <v>20</v>
      </c>
      <c r="B20" s="2" t="s">
        <v>15</v>
      </c>
      <c r="C20" s="29">
        <v>0.85</v>
      </c>
      <c r="D20" s="29">
        <v>0.85</v>
      </c>
      <c r="E20" s="3" t="s">
        <v>10</v>
      </c>
      <c r="F20" s="1" t="s">
        <v>9</v>
      </c>
      <c r="G20" s="2" t="s">
        <v>15</v>
      </c>
      <c r="H20" s="5">
        <f>SQRT(C23)*0.5</f>
        <v>1.0013047110953728</v>
      </c>
      <c r="I20" s="3" t="s">
        <v>10</v>
      </c>
      <c r="L20" s="1"/>
    </row>
    <row r="21" spans="1:12" x14ac:dyDescent="0.25">
      <c r="A21" s="1" t="s">
        <v>65</v>
      </c>
      <c r="C21" s="29">
        <v>1</v>
      </c>
      <c r="D21" s="29">
        <v>4</v>
      </c>
      <c r="I21" s="2"/>
      <c r="J21" s="5"/>
      <c r="K21" s="3"/>
      <c r="L21" s="1"/>
    </row>
    <row r="22" spans="1:12" x14ac:dyDescent="0.25">
      <c r="A22" s="1" t="s">
        <v>17</v>
      </c>
      <c r="B22" s="2" t="s">
        <v>16</v>
      </c>
      <c r="C22" s="27">
        <f>3.14*POWER($C20,2)*C21/4</f>
        <v>0.56716250000000001</v>
      </c>
      <c r="D22" s="27">
        <f t="shared" ref="D22" si="0">3.14*POWER(D20,2)*D21/4</f>
        <v>2.2686500000000001</v>
      </c>
      <c r="E22" s="3" t="s">
        <v>8</v>
      </c>
    </row>
    <row r="23" spans="1:12" x14ac:dyDescent="0.25">
      <c r="A23" s="1" t="s">
        <v>52</v>
      </c>
      <c r="C23" s="30">
        <f t="shared" ref="C23:D23" si="1">$C18*C22</f>
        <v>4.0104444978471525</v>
      </c>
      <c r="D23" s="30">
        <f t="shared" si="1"/>
        <v>16.04177799138861</v>
      </c>
      <c r="E23" s="3" t="s">
        <v>7</v>
      </c>
    </row>
    <row r="24" spans="1:12" ht="18" x14ac:dyDescent="0.35">
      <c r="A24" s="1" t="s">
        <v>48</v>
      </c>
      <c r="B24" s="2" t="s">
        <v>18</v>
      </c>
      <c r="C24" s="31">
        <f t="shared" ref="C24:D24" si="2">C25*C27</f>
        <v>5.4801604517585876</v>
      </c>
      <c r="D24" s="31">
        <f t="shared" si="2"/>
        <v>0.32880962710551526</v>
      </c>
      <c r="E24" s="3" t="s">
        <v>3</v>
      </c>
    </row>
    <row r="25" spans="1:12" ht="30" x14ac:dyDescent="0.25">
      <c r="A25" s="1" t="s">
        <v>24</v>
      </c>
      <c r="C25" s="27">
        <f t="shared" ref="C25:D25" si="3">0.017/C22</f>
        <v>2.9973772948669916E-2</v>
      </c>
      <c r="D25" s="27">
        <f t="shared" si="3"/>
        <v>7.493443237167479E-3</v>
      </c>
      <c r="E25" s="3" t="s">
        <v>3</v>
      </c>
    </row>
    <row r="26" spans="1:12" x14ac:dyDescent="0.25">
      <c r="A26" s="1" t="s">
        <v>49</v>
      </c>
      <c r="C26" s="29">
        <v>125</v>
      </c>
      <c r="D26" s="29">
        <v>30</v>
      </c>
      <c r="E26" s="3" t="s">
        <v>50</v>
      </c>
    </row>
    <row r="27" spans="1:12" x14ac:dyDescent="0.25">
      <c r="A27" s="1" t="s">
        <v>113</v>
      </c>
      <c r="C27" s="32">
        <f>C26*$C$10*($C$5*2+$C$12*4+PI()*$C$11)/1000</f>
        <v>182.83185307179588</v>
      </c>
      <c r="D27" s="32">
        <f t="shared" ref="D27" si="4">D26*$C$10*($C$5*2+$C$12*4+PI()*$C$11)/1000</f>
        <v>43.879644737231004</v>
      </c>
      <c r="E27" s="3" t="s">
        <v>25</v>
      </c>
    </row>
    <row r="28" spans="1:12" ht="18" x14ac:dyDescent="0.35">
      <c r="A28" s="1" t="s">
        <v>26</v>
      </c>
      <c r="B28" s="2" t="s">
        <v>27</v>
      </c>
      <c r="C28" s="27">
        <f t="shared" ref="C28:D28" si="5">8.9*C22*C27*3/1000</f>
        <v>2.7686664021711258</v>
      </c>
      <c r="D28" s="27">
        <f t="shared" si="5"/>
        <v>2.6579197460842807</v>
      </c>
      <c r="E28" s="3" t="s">
        <v>28</v>
      </c>
    </row>
    <row r="29" spans="1:12" ht="18" x14ac:dyDescent="0.35">
      <c r="A29" s="1" t="s">
        <v>67</v>
      </c>
      <c r="B29" s="2" t="s">
        <v>68</v>
      </c>
      <c r="C29" s="27">
        <f t="shared" ref="C29:D29" si="6">C31/C23</f>
        <v>17.812782249797571</v>
      </c>
      <c r="D29" s="27">
        <f t="shared" si="6"/>
        <v>1.0687669349878546</v>
      </c>
      <c r="E29" s="3" t="s">
        <v>3</v>
      </c>
    </row>
    <row r="30" spans="1:12" x14ac:dyDescent="0.25">
      <c r="A30" s="1" t="s">
        <v>84</v>
      </c>
      <c r="C30" s="33">
        <f t="shared" ref="C30:D30" si="7">C26*$C17*$C10</f>
        <v>41.112822912947195</v>
      </c>
      <c r="D30" s="33">
        <f t="shared" si="7"/>
        <v>9.867077499107328</v>
      </c>
      <c r="E30" s="3" t="s">
        <v>35</v>
      </c>
      <c r="F30"/>
    </row>
    <row r="31" spans="1:12" x14ac:dyDescent="0.25">
      <c r="A31" s="1" t="s">
        <v>58</v>
      </c>
      <c r="C31" s="33">
        <f t="shared" ref="C31:D31" si="8">C30/1.41*2.45</f>
        <v>71.4371745650501</v>
      </c>
      <c r="D31" s="33">
        <f t="shared" si="8"/>
        <v>17.144921895612026</v>
      </c>
      <c r="E31" s="3" t="s">
        <v>35</v>
      </c>
      <c r="F31"/>
    </row>
    <row r="32" spans="1:12" x14ac:dyDescent="0.25">
      <c r="A32" s="1" t="s">
        <v>88</v>
      </c>
      <c r="C32" s="34">
        <f t="shared" ref="C32:D32" si="9">C30/$C$3</f>
        <v>9.9560634791065861E-2</v>
      </c>
      <c r="D32" s="34">
        <f t="shared" si="9"/>
        <v>2.389455234985581E-2</v>
      </c>
      <c r="E32" s="24"/>
      <c r="F32"/>
    </row>
    <row r="33" spans="1:6" x14ac:dyDescent="0.25">
      <c r="A33" s="1" t="s">
        <v>66</v>
      </c>
      <c r="C33" s="34">
        <f>C31*0.85/15</f>
        <v>4.0481065586861726</v>
      </c>
      <c r="D33" s="34">
        <f t="shared" ref="D33" si="10">D31*0.85/15</f>
        <v>0.97154557408468134</v>
      </c>
      <c r="E33" s="3" t="s">
        <v>4</v>
      </c>
      <c r="F33"/>
    </row>
    <row r="34" spans="1:6" ht="18" x14ac:dyDescent="0.35">
      <c r="A34" s="1" t="s">
        <v>5</v>
      </c>
      <c r="B34" s="2" t="s">
        <v>57</v>
      </c>
      <c r="C34" s="27">
        <f>C31*C23*3</f>
        <v>859.48447102845512</v>
      </c>
      <c r="D34" s="27">
        <f>D31*D23*3</f>
        <v>825.10509218731704</v>
      </c>
    </row>
    <row r="35" spans="1:6" x14ac:dyDescent="0.25">
      <c r="A35" s="1" t="s">
        <v>54</v>
      </c>
      <c r="B35" s="2" t="s">
        <v>13</v>
      </c>
      <c r="C35" s="33">
        <f t="shared" ref="C35:D35" si="11">C34-C38</f>
        <v>595.06127531548248</v>
      </c>
      <c r="D35" s="33">
        <f t="shared" si="11"/>
        <v>571.25882430286333</v>
      </c>
    </row>
    <row r="36" spans="1:6" x14ac:dyDescent="0.25">
      <c r="A36" s="1" t="s">
        <v>106</v>
      </c>
      <c r="C36" s="27">
        <f>C35/C34</f>
        <v>0.69234674432620624</v>
      </c>
      <c r="D36" s="27">
        <f t="shared" ref="D36" si="12">D35/D34</f>
        <v>0.69234674432620635</v>
      </c>
      <c r="E36" s="3" t="s">
        <v>107</v>
      </c>
    </row>
    <row r="37" spans="1:6" ht="31.5" x14ac:dyDescent="0.35">
      <c r="A37" s="1" t="s">
        <v>19</v>
      </c>
      <c r="B37" s="2" t="s">
        <v>55</v>
      </c>
      <c r="C37" s="27">
        <f>POWER(C23,2)*C24</f>
        <v>88.141065237657557</v>
      </c>
      <c r="D37" s="27">
        <f>POWER(D23,2)*D24</f>
        <v>84.615422628151251</v>
      </c>
      <c r="E37" s="3" t="s">
        <v>2</v>
      </c>
      <c r="F37" s="6" t="s">
        <v>56</v>
      </c>
    </row>
    <row r="38" spans="1:6" ht="30" x14ac:dyDescent="0.25">
      <c r="A38" s="1" t="s">
        <v>23</v>
      </c>
      <c r="C38" s="34">
        <f>C37*$C19</f>
        <v>264.42319571297264</v>
      </c>
      <c r="D38" s="34">
        <f>D37*$C19</f>
        <v>253.84626788445377</v>
      </c>
      <c r="E38" s="3" t="s">
        <v>2</v>
      </c>
      <c r="F38"/>
    </row>
    <row r="40" spans="1:6" x14ac:dyDescent="0.25">
      <c r="A4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activeCell="B11" sqref="B11"/>
    </sheetView>
  </sheetViews>
  <sheetFormatPr defaultRowHeight="15" x14ac:dyDescent="0.25"/>
  <cols>
    <col min="1" max="1" width="22.5703125" customWidth="1"/>
    <col min="2" max="2" width="10.5703125" customWidth="1"/>
    <col min="3" max="3" width="12.7109375" customWidth="1"/>
    <col min="4" max="4" width="10.5703125" customWidth="1"/>
    <col min="5" max="5" width="16.7109375" customWidth="1"/>
    <col min="6" max="6" width="12" bestFit="1" customWidth="1"/>
    <col min="7" max="16" width="12" customWidth="1"/>
    <col min="17" max="17" width="12.7109375" customWidth="1"/>
    <col min="18" max="18" width="12" customWidth="1"/>
    <col min="19" max="19" width="14.5703125" bestFit="1" customWidth="1"/>
    <col min="20" max="21" width="14.5703125" customWidth="1"/>
  </cols>
  <sheetData>
    <row r="1" spans="1:5" x14ac:dyDescent="0.25">
      <c r="A1" s="8" t="s">
        <v>69</v>
      </c>
      <c r="B1" s="37">
        <v>0.42</v>
      </c>
      <c r="C1" s="9"/>
      <c r="D1" s="12"/>
    </row>
    <row r="2" spans="1:5" x14ac:dyDescent="0.25">
      <c r="A2" s="8" t="s">
        <v>70</v>
      </c>
      <c r="B2" s="37">
        <v>5</v>
      </c>
      <c r="C2" s="9"/>
      <c r="D2" s="12"/>
    </row>
    <row r="3" spans="1:5" ht="17.25" x14ac:dyDescent="0.25">
      <c r="A3" s="8" t="s">
        <v>71</v>
      </c>
      <c r="B3" s="36">
        <v>1.2254</v>
      </c>
      <c r="C3" s="9" t="s">
        <v>72</v>
      </c>
      <c r="D3" s="12"/>
    </row>
    <row r="4" spans="1:5" x14ac:dyDescent="0.25">
      <c r="A4" s="8" t="s">
        <v>73</v>
      </c>
      <c r="B4" s="36">
        <v>60</v>
      </c>
      <c r="C4" s="9" t="s">
        <v>74</v>
      </c>
      <c r="D4" s="12"/>
    </row>
    <row r="5" spans="1:5" ht="30" x14ac:dyDescent="0.25">
      <c r="A5" s="8" t="s">
        <v>66</v>
      </c>
      <c r="B5" s="37">
        <v>1.2</v>
      </c>
      <c r="C5" s="9" t="s">
        <v>4</v>
      </c>
      <c r="D5" s="12"/>
    </row>
    <row r="6" spans="1:5" x14ac:dyDescent="0.25">
      <c r="A6" s="8" t="s">
        <v>89</v>
      </c>
      <c r="B6" s="36">
        <f>B5*12</f>
        <v>14.399999999999999</v>
      </c>
      <c r="C6" s="9" t="s">
        <v>35</v>
      </c>
      <c r="D6" s="12"/>
    </row>
    <row r="7" spans="1:5" ht="17.25" x14ac:dyDescent="0.25">
      <c r="A7" s="8" t="s">
        <v>75</v>
      </c>
      <c r="B7" s="39">
        <f>Железо!C13</f>
        <v>10</v>
      </c>
      <c r="C7" s="9" t="s">
        <v>76</v>
      </c>
      <c r="D7" s="12"/>
    </row>
    <row r="8" spans="1:5" x14ac:dyDescent="0.25">
      <c r="A8" s="8" t="s">
        <v>112</v>
      </c>
      <c r="B8" s="37">
        <v>1.85</v>
      </c>
      <c r="C8" s="9"/>
      <c r="D8" s="12"/>
    </row>
    <row r="9" spans="1:5" ht="30" x14ac:dyDescent="0.25">
      <c r="A9" s="25" t="s">
        <v>86</v>
      </c>
      <c r="B9" s="26">
        <f>Железо!D30</f>
        <v>9.867077499107328</v>
      </c>
      <c r="C9" s="9" t="s">
        <v>35</v>
      </c>
      <c r="D9" s="12"/>
    </row>
    <row r="10" spans="1:5" x14ac:dyDescent="0.25">
      <c r="A10" s="25" t="s">
        <v>87</v>
      </c>
      <c r="B10" s="26">
        <f>Железо!C3</f>
        <v>412.942555049242</v>
      </c>
      <c r="C10" s="9" t="s">
        <v>34</v>
      </c>
      <c r="D10" s="12"/>
    </row>
    <row r="11" spans="1:5" ht="30" x14ac:dyDescent="0.25">
      <c r="A11" s="25" t="s">
        <v>85</v>
      </c>
      <c r="B11" s="35">
        <f>B9/B10</f>
        <v>2.389455234985581E-2</v>
      </c>
      <c r="C11" s="9" t="s">
        <v>90</v>
      </c>
      <c r="D11" s="12"/>
    </row>
    <row r="12" spans="1:5" x14ac:dyDescent="0.25">
      <c r="A12" s="8" t="s">
        <v>91</v>
      </c>
      <c r="B12" s="38">
        <f>B13*SQRT(3)</f>
        <v>27.785174524825283</v>
      </c>
      <c r="C12" s="9" t="s">
        <v>7</v>
      </c>
      <c r="D12" s="12"/>
    </row>
    <row r="13" spans="1:5" x14ac:dyDescent="0.25">
      <c r="A13" s="8" t="s">
        <v>92</v>
      </c>
      <c r="B13" s="39">
        <f>Железо!D23</f>
        <v>16.04177799138861</v>
      </c>
      <c r="C13" s="9" t="s">
        <v>7</v>
      </c>
      <c r="D13" s="12"/>
    </row>
    <row r="14" spans="1:5" x14ac:dyDescent="0.25">
      <c r="A14" s="8" t="s">
        <v>93</v>
      </c>
      <c r="B14" s="38">
        <f>Железо!D24*2/3</f>
        <v>0.2192064180703435</v>
      </c>
      <c r="C14" s="9" t="s">
        <v>3</v>
      </c>
      <c r="D14" s="12"/>
    </row>
    <row r="15" spans="1:5" x14ac:dyDescent="0.25">
      <c r="A15" s="8" t="s">
        <v>94</v>
      </c>
      <c r="B15" s="38">
        <f>Железо!D24*1.5</f>
        <v>0.49321444065827291</v>
      </c>
      <c r="C15" s="9" t="s">
        <v>3</v>
      </c>
      <c r="D15" s="12"/>
    </row>
    <row r="16" spans="1:5" x14ac:dyDescent="0.25">
      <c r="A16" s="10"/>
      <c r="E16" s="7"/>
    </row>
    <row r="17" spans="1:21" ht="15" customHeight="1" x14ac:dyDescent="0.25">
      <c r="A17" s="43" t="s">
        <v>83</v>
      </c>
      <c r="B17" s="43" t="s">
        <v>77</v>
      </c>
      <c r="C17" s="46" t="s">
        <v>81</v>
      </c>
      <c r="D17" s="46" t="s">
        <v>82</v>
      </c>
      <c r="E17" s="43" t="s">
        <v>78</v>
      </c>
      <c r="F17" s="43" t="s">
        <v>79</v>
      </c>
      <c r="G17" s="43" t="s">
        <v>95</v>
      </c>
      <c r="H17" s="43" t="s">
        <v>96</v>
      </c>
      <c r="I17" s="43" t="s">
        <v>97</v>
      </c>
      <c r="J17" s="43" t="s">
        <v>98</v>
      </c>
      <c r="K17" s="43" t="s">
        <v>99</v>
      </c>
      <c r="L17" s="43" t="s">
        <v>115</v>
      </c>
      <c r="M17" s="43" t="s">
        <v>100</v>
      </c>
      <c r="N17" s="43" t="s">
        <v>101</v>
      </c>
      <c r="O17" s="43" t="s">
        <v>102</v>
      </c>
      <c r="P17" s="43" t="s">
        <v>103</v>
      </c>
      <c r="Q17" s="46" t="s">
        <v>104</v>
      </c>
      <c r="R17" s="46" t="s">
        <v>105</v>
      </c>
      <c r="S17" s="48" t="s">
        <v>80</v>
      </c>
      <c r="T17" s="43" t="s">
        <v>111</v>
      </c>
      <c r="U17" s="43" t="s">
        <v>110</v>
      </c>
    </row>
    <row r="18" spans="1:21" s="11" customFormat="1" ht="15.75" thickBot="1" x14ac:dyDescent="0.3">
      <c r="A18" s="45"/>
      <c r="B18" s="44"/>
      <c r="C18" s="47"/>
      <c r="D18" s="47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50"/>
      <c r="R18" s="50"/>
      <c r="S18" s="49"/>
      <c r="T18" s="44"/>
      <c r="U18" s="44"/>
    </row>
    <row r="19" spans="1:21" s="6" customFormat="1" x14ac:dyDescent="0.25">
      <c r="A19" s="16">
        <v>3</v>
      </c>
      <c r="B19" s="17">
        <f>$B$8</f>
        <v>1.85</v>
      </c>
      <c r="C19" s="17">
        <f t="shared" ref="C19:C28" si="0">PI()*B19</f>
        <v>5.8119464091411173</v>
      </c>
      <c r="D19" s="17">
        <f t="shared" ref="D19:D28" si="1">A19/C19*$B$2*60</f>
        <v>154.85345814346576</v>
      </c>
      <c r="E19" s="17">
        <f t="shared" ref="E19:E28" si="2">PI()*POWER((B19/2),2)</f>
        <v>2.6880252142277672</v>
      </c>
      <c r="F19" s="17">
        <f t="shared" ref="F19:F28" si="3">POWER(A19,3)*$B$3*E19/2</f>
        <v>44.467732316448526</v>
      </c>
      <c r="G19" s="17">
        <f t="shared" ref="G19:G28" si="4">$B$11*D19</f>
        <v>3.700154062165248</v>
      </c>
      <c r="H19" s="17">
        <f t="shared" ref="H19:H28" si="5">1.35*G19-1.2</f>
        <v>3.7952079839230848</v>
      </c>
      <c r="I19" s="17">
        <f t="shared" ref="I19:I28" si="6">2.35*G19-1.2</f>
        <v>7.4953620460883323</v>
      </c>
      <c r="J19" s="17">
        <f t="shared" ref="J19:J26" si="7">IF((H19-$B$6)/$B$14&gt;0,(H19-$B$6)/$B$14,0)</f>
        <v>0</v>
      </c>
      <c r="K19" s="17">
        <f t="shared" ref="K19:K26" si="8">IF((I19-$B$6)/$B$15&gt;0,(I19-$B$6)/$B$15,0)</f>
        <v>0</v>
      </c>
      <c r="L19" s="17">
        <f>G19/Железо!$D$24</f>
        <v>11.253180433728195</v>
      </c>
      <c r="M19" s="17">
        <f t="shared" ref="M19:M21" si="9">J19*$B$6</f>
        <v>0</v>
      </c>
      <c r="N19" s="17">
        <f t="shared" ref="N19:N21" si="10">K19*$B$6</f>
        <v>0</v>
      </c>
      <c r="O19" s="17">
        <f t="shared" ref="O19:O28" si="11">POWER(J19,2)*$B$14</f>
        <v>0</v>
      </c>
      <c r="P19" s="17">
        <f t="shared" ref="P19:P28" si="12">POWER(K19,2)*$B$15</f>
        <v>0</v>
      </c>
      <c r="Q19" s="17">
        <f t="shared" ref="Q19:R28" si="13">M19+O19</f>
        <v>0</v>
      </c>
      <c r="R19" s="17">
        <f t="shared" si="13"/>
        <v>0</v>
      </c>
      <c r="S19" s="15">
        <f>F19*$B$1</f>
        <v>18.67644757290838</v>
      </c>
      <c r="T19" s="21" t="e">
        <f t="shared" ref="T19:T23" si="14">M19/Q19</f>
        <v>#DIV/0!</v>
      </c>
      <c r="U19" s="21" t="e">
        <f t="shared" ref="U19:U23" si="15">P19/R19</f>
        <v>#DIV/0!</v>
      </c>
    </row>
    <row r="20" spans="1:21" x14ac:dyDescent="0.25">
      <c r="A20" s="18">
        <v>4</v>
      </c>
      <c r="B20" s="14">
        <f>$B$8</f>
        <v>1.85</v>
      </c>
      <c r="C20" s="14">
        <f t="shared" si="0"/>
        <v>5.8119464091411173</v>
      </c>
      <c r="D20" s="14">
        <f t="shared" si="1"/>
        <v>206.471277524621</v>
      </c>
      <c r="E20" s="14">
        <f t="shared" si="2"/>
        <v>2.6880252142277672</v>
      </c>
      <c r="F20" s="14">
        <f t="shared" si="3"/>
        <v>105.40499512047059</v>
      </c>
      <c r="G20" s="14">
        <f t="shared" si="4"/>
        <v>4.933538749553664</v>
      </c>
      <c r="H20" s="14">
        <f t="shared" si="5"/>
        <v>5.460277311897447</v>
      </c>
      <c r="I20" s="14">
        <f t="shared" si="6"/>
        <v>10.393816061451112</v>
      </c>
      <c r="J20" s="14">
        <f t="shared" si="7"/>
        <v>0</v>
      </c>
      <c r="K20" s="14">
        <f t="shared" si="8"/>
        <v>0</v>
      </c>
      <c r="L20" s="14">
        <f>G20/Железо!$D$24</f>
        <v>15.004240578304259</v>
      </c>
      <c r="M20" s="14">
        <f t="shared" si="9"/>
        <v>0</v>
      </c>
      <c r="N20" s="14">
        <f t="shared" si="10"/>
        <v>0</v>
      </c>
      <c r="O20" s="14">
        <f t="shared" si="11"/>
        <v>0</v>
      </c>
      <c r="P20" s="14">
        <f t="shared" si="12"/>
        <v>0</v>
      </c>
      <c r="Q20" s="14">
        <f t="shared" si="13"/>
        <v>0</v>
      </c>
      <c r="R20" s="14">
        <f t="shared" si="13"/>
        <v>0</v>
      </c>
      <c r="S20" s="15">
        <f t="shared" ref="S20:S28" si="16">F20*$B$1</f>
        <v>44.270097950597645</v>
      </c>
      <c r="T20" s="14" t="e">
        <f t="shared" si="14"/>
        <v>#DIV/0!</v>
      </c>
      <c r="U20" s="14" t="e">
        <f t="shared" si="15"/>
        <v>#DIV/0!</v>
      </c>
    </row>
    <row r="21" spans="1:21" s="6" customFormat="1" x14ac:dyDescent="0.25">
      <c r="A21" s="18">
        <v>5</v>
      </c>
      <c r="B21" s="14">
        <f t="shared" ref="B21:B27" si="17">$B$8</f>
        <v>1.85</v>
      </c>
      <c r="C21" s="14">
        <f t="shared" si="0"/>
        <v>5.8119464091411173</v>
      </c>
      <c r="D21" s="14">
        <f t="shared" si="1"/>
        <v>258.08909690577622</v>
      </c>
      <c r="E21" s="14">
        <f t="shared" si="2"/>
        <v>2.6880252142277672</v>
      </c>
      <c r="F21" s="14">
        <f t="shared" si="3"/>
        <v>205.86913109466914</v>
      </c>
      <c r="G21" s="14">
        <f t="shared" si="4"/>
        <v>6.1669234369420787</v>
      </c>
      <c r="H21" s="14">
        <f t="shared" si="5"/>
        <v>7.1253466398718066</v>
      </c>
      <c r="I21" s="14">
        <f t="shared" si="6"/>
        <v>13.292270076813885</v>
      </c>
      <c r="J21" s="14">
        <f t="shared" si="7"/>
        <v>0</v>
      </c>
      <c r="K21" s="14">
        <f t="shared" si="8"/>
        <v>0</v>
      </c>
      <c r="L21" s="14">
        <f>G21/Железо!$D$24</f>
        <v>18.755300722880321</v>
      </c>
      <c r="M21" s="14">
        <f t="shared" si="9"/>
        <v>0</v>
      </c>
      <c r="N21" s="14">
        <f t="shared" si="10"/>
        <v>0</v>
      </c>
      <c r="O21" s="14">
        <f t="shared" si="11"/>
        <v>0</v>
      </c>
      <c r="P21" s="14">
        <f t="shared" si="12"/>
        <v>0</v>
      </c>
      <c r="Q21" s="14">
        <f t="shared" si="13"/>
        <v>0</v>
      </c>
      <c r="R21" s="14">
        <f t="shared" si="13"/>
        <v>0</v>
      </c>
      <c r="S21" s="15">
        <f t="shared" si="16"/>
        <v>86.465035059761036</v>
      </c>
      <c r="T21" s="13" t="e">
        <f t="shared" si="14"/>
        <v>#DIV/0!</v>
      </c>
      <c r="U21" s="13" t="e">
        <f t="shared" si="15"/>
        <v>#DIV/0!</v>
      </c>
    </row>
    <row r="22" spans="1:21" s="6" customFormat="1" x14ac:dyDescent="0.25">
      <c r="A22" s="18">
        <v>6</v>
      </c>
      <c r="B22" s="14">
        <f t="shared" si="17"/>
        <v>1.85</v>
      </c>
      <c r="C22" s="14">
        <f t="shared" si="0"/>
        <v>5.8119464091411173</v>
      </c>
      <c r="D22" s="14">
        <f t="shared" si="1"/>
        <v>309.70691628693152</v>
      </c>
      <c r="E22" s="14">
        <f t="shared" si="2"/>
        <v>2.6880252142277672</v>
      </c>
      <c r="F22" s="14">
        <f t="shared" si="3"/>
        <v>355.74185853158821</v>
      </c>
      <c r="G22" s="14">
        <f t="shared" si="4"/>
        <v>7.400308124330496</v>
      </c>
      <c r="H22" s="14">
        <f t="shared" si="5"/>
        <v>8.7904159678461706</v>
      </c>
      <c r="I22" s="14">
        <f t="shared" si="6"/>
        <v>16.190724092176666</v>
      </c>
      <c r="J22" s="14">
        <f t="shared" si="7"/>
        <v>0</v>
      </c>
      <c r="K22" s="14">
        <f t="shared" si="8"/>
        <v>3.6307211317386852</v>
      </c>
      <c r="L22" s="14">
        <f>G22/Железо!$D$24</f>
        <v>22.50636086745639</v>
      </c>
      <c r="M22" s="14">
        <f t="shared" ref="M22:M28" si="18">J22*$B$6</f>
        <v>0</v>
      </c>
      <c r="N22" s="14">
        <f t="shared" ref="N22:N28" si="19">K22*$B$6</f>
        <v>52.282384297037062</v>
      </c>
      <c r="O22" s="14">
        <f t="shared" si="11"/>
        <v>0</v>
      </c>
      <c r="P22" s="14">
        <f t="shared" si="12"/>
        <v>6.5016198025793992</v>
      </c>
      <c r="Q22" s="14">
        <f t="shared" si="13"/>
        <v>0</v>
      </c>
      <c r="R22" s="14">
        <f t="shared" si="13"/>
        <v>58.78400409961646</v>
      </c>
      <c r="S22" s="15">
        <f t="shared" si="16"/>
        <v>149.41158058326704</v>
      </c>
      <c r="T22" s="13" t="e">
        <f t="shared" si="14"/>
        <v>#DIV/0!</v>
      </c>
      <c r="U22" s="13">
        <f t="shared" si="15"/>
        <v>0.11060185338109385</v>
      </c>
    </row>
    <row r="23" spans="1:21" x14ac:dyDescent="0.25">
      <c r="A23" s="18">
        <v>7</v>
      </c>
      <c r="B23" s="14">
        <f t="shared" si="17"/>
        <v>1.85</v>
      </c>
      <c r="C23" s="14">
        <f t="shared" si="0"/>
        <v>5.8119464091411173</v>
      </c>
      <c r="D23" s="14">
        <f t="shared" si="1"/>
        <v>361.3247356680867</v>
      </c>
      <c r="E23" s="14">
        <f t="shared" si="2"/>
        <v>2.6880252142277672</v>
      </c>
      <c r="F23" s="14">
        <f t="shared" si="3"/>
        <v>564.90489572377214</v>
      </c>
      <c r="G23" s="14">
        <f t="shared" si="4"/>
        <v>8.6336928117189107</v>
      </c>
      <c r="H23" s="14">
        <f t="shared" si="5"/>
        <v>10.45548529582053</v>
      </c>
      <c r="I23" s="14">
        <f t="shared" si="6"/>
        <v>19.089178107539443</v>
      </c>
      <c r="J23" s="14">
        <f t="shared" si="7"/>
        <v>0</v>
      </c>
      <c r="K23" s="14">
        <f t="shared" si="8"/>
        <v>9.5073820249078516</v>
      </c>
      <c r="L23" s="14">
        <f>G23/Железо!$D$24</f>
        <v>26.257421012032449</v>
      </c>
      <c r="M23" s="14">
        <f t="shared" si="18"/>
        <v>0</v>
      </c>
      <c r="N23" s="14">
        <f t="shared" si="19"/>
        <v>136.90630115867305</v>
      </c>
      <c r="O23" s="14">
        <f t="shared" si="11"/>
        <v>0</v>
      </c>
      <c r="P23" s="14">
        <f t="shared" si="12"/>
        <v>44.581807651211932</v>
      </c>
      <c r="Q23" s="14">
        <f t="shared" si="13"/>
        <v>0</v>
      </c>
      <c r="R23" s="14">
        <f t="shared" si="13"/>
        <v>181.48810880988498</v>
      </c>
      <c r="S23" s="15">
        <f t="shared" si="16"/>
        <v>237.26005620398428</v>
      </c>
      <c r="T23" s="13" t="e">
        <f t="shared" si="14"/>
        <v>#DIV/0!</v>
      </c>
      <c r="U23" s="13">
        <f t="shared" si="15"/>
        <v>0.24564588800643081</v>
      </c>
    </row>
    <row r="24" spans="1:21" x14ac:dyDescent="0.25">
      <c r="A24" s="40">
        <v>8</v>
      </c>
      <c r="B24" s="41">
        <f t="shared" si="17"/>
        <v>1.85</v>
      </c>
      <c r="C24" s="41">
        <f t="shared" si="0"/>
        <v>5.8119464091411173</v>
      </c>
      <c r="D24" s="41">
        <f t="shared" si="1"/>
        <v>412.942555049242</v>
      </c>
      <c r="E24" s="41">
        <f t="shared" si="2"/>
        <v>2.6880252142277672</v>
      </c>
      <c r="F24" s="41">
        <f t="shared" si="3"/>
        <v>843.2399609637647</v>
      </c>
      <c r="G24" s="41">
        <f t="shared" si="4"/>
        <v>9.867077499107328</v>
      </c>
      <c r="H24" s="41">
        <f t="shared" si="5"/>
        <v>12.120554623794895</v>
      </c>
      <c r="I24" s="41">
        <f t="shared" si="6"/>
        <v>21.987632122902223</v>
      </c>
      <c r="J24" s="41">
        <f t="shared" si="7"/>
        <v>0</v>
      </c>
      <c r="K24" s="41">
        <f t="shared" si="8"/>
        <v>15.384042918077025</v>
      </c>
      <c r="L24" s="41">
        <f>G24/Железо!$D$24</f>
        <v>30.008481156608518</v>
      </c>
      <c r="M24" s="41">
        <f t="shared" si="18"/>
        <v>0</v>
      </c>
      <c r="N24" s="41">
        <f t="shared" si="19"/>
        <v>221.53021802030915</v>
      </c>
      <c r="O24" s="41">
        <f t="shared" si="11"/>
        <v>0</v>
      </c>
      <c r="P24" s="41">
        <f t="shared" si="12"/>
        <v>116.7284582253077</v>
      </c>
      <c r="Q24" s="41">
        <f t="shared" si="13"/>
        <v>0</v>
      </c>
      <c r="R24" s="14">
        <f t="shared" si="13"/>
        <v>338.25867624561687</v>
      </c>
      <c r="S24" s="15">
        <f t="shared" si="16"/>
        <v>354.16078360478116</v>
      </c>
      <c r="T24" s="13" t="e">
        <f t="shared" ref="T24:T28" si="20">M24/Q24</f>
        <v>#DIV/0!</v>
      </c>
      <c r="U24" s="13">
        <f t="shared" ref="U24:U28" si="21">P24/R24</f>
        <v>0.34508636857713199</v>
      </c>
    </row>
    <row r="25" spans="1:21" x14ac:dyDescent="0.25">
      <c r="A25" s="18">
        <v>9</v>
      </c>
      <c r="B25" s="14">
        <f t="shared" si="17"/>
        <v>1.85</v>
      </c>
      <c r="C25" s="14">
        <f t="shared" si="0"/>
        <v>5.8119464091411173</v>
      </c>
      <c r="D25" s="14">
        <f t="shared" si="1"/>
        <v>464.56037443039719</v>
      </c>
      <c r="E25" s="14">
        <f t="shared" si="2"/>
        <v>2.6880252142277672</v>
      </c>
      <c r="F25" s="14">
        <f t="shared" si="3"/>
        <v>1200.6287725441102</v>
      </c>
      <c r="G25" s="14">
        <f t="shared" si="4"/>
        <v>11.100462186495742</v>
      </c>
      <c r="H25" s="14">
        <f t="shared" si="5"/>
        <v>13.785623951769253</v>
      </c>
      <c r="I25" s="14">
        <f t="shared" si="6"/>
        <v>24.886086138264996</v>
      </c>
      <c r="J25" s="14">
        <f t="shared" si="7"/>
        <v>0</v>
      </c>
      <c r="K25" s="14">
        <f t="shared" si="8"/>
        <v>21.260703811246184</v>
      </c>
      <c r="L25" s="14">
        <f>G25/Железо!$D$24</f>
        <v>33.759541301184576</v>
      </c>
      <c r="M25" s="14">
        <f t="shared" si="18"/>
        <v>0</v>
      </c>
      <c r="N25" s="14">
        <f t="shared" si="19"/>
        <v>306.15413488194503</v>
      </c>
      <c r="O25" s="14">
        <f t="shared" si="11"/>
        <v>0</v>
      </c>
      <c r="P25" s="14">
        <f t="shared" si="12"/>
        <v>222.94157152486645</v>
      </c>
      <c r="Q25" s="14">
        <f t="shared" si="13"/>
        <v>0</v>
      </c>
      <c r="R25" s="14">
        <f t="shared" si="13"/>
        <v>529.09570640681147</v>
      </c>
      <c r="S25" s="15">
        <f t="shared" si="16"/>
        <v>504.26408446852628</v>
      </c>
      <c r="T25" s="13" t="e">
        <f t="shared" si="20"/>
        <v>#DIV/0!</v>
      </c>
      <c r="U25" s="13">
        <f t="shared" si="21"/>
        <v>0.42136341086361223</v>
      </c>
    </row>
    <row r="26" spans="1:21" x14ac:dyDescent="0.25">
      <c r="A26" s="23">
        <v>10</v>
      </c>
      <c r="B26" s="14">
        <f t="shared" si="17"/>
        <v>1.85</v>
      </c>
      <c r="C26" s="14">
        <f t="shared" si="0"/>
        <v>5.8119464091411173</v>
      </c>
      <c r="D26" s="14">
        <f t="shared" si="1"/>
        <v>516.17819381155243</v>
      </c>
      <c r="E26" s="14">
        <f t="shared" si="2"/>
        <v>2.6880252142277672</v>
      </c>
      <c r="F26" s="14">
        <f t="shared" si="3"/>
        <v>1646.9530487573531</v>
      </c>
      <c r="G26" s="14">
        <f t="shared" si="4"/>
        <v>12.333846873884157</v>
      </c>
      <c r="H26" s="14">
        <f t="shared" si="5"/>
        <v>15.450693279743614</v>
      </c>
      <c r="I26" s="14">
        <f t="shared" si="6"/>
        <v>27.78454015362777</v>
      </c>
      <c r="J26" s="14">
        <f t="shared" si="7"/>
        <v>4.7931684162935753</v>
      </c>
      <c r="K26" s="14">
        <f t="shared" si="8"/>
        <v>27.137364704415344</v>
      </c>
      <c r="L26" s="14">
        <f>G26/Железо!$D$24</f>
        <v>37.510601445760642</v>
      </c>
      <c r="M26" s="14">
        <f t="shared" si="18"/>
        <v>69.021625194627475</v>
      </c>
      <c r="N26" s="14">
        <f t="shared" si="19"/>
        <v>390.77805174358093</v>
      </c>
      <c r="O26" s="14">
        <f t="shared" si="11"/>
        <v>5.0361498436790093</v>
      </c>
      <c r="P26" s="14">
        <f t="shared" si="12"/>
        <v>363.2211475498882</v>
      </c>
      <c r="Q26" s="14">
        <f t="shared" si="13"/>
        <v>74.057775038306488</v>
      </c>
      <c r="R26" s="14">
        <f t="shared" si="13"/>
        <v>753.99919929346913</v>
      </c>
      <c r="S26" s="15">
        <f t="shared" si="16"/>
        <v>691.72028047808828</v>
      </c>
      <c r="T26" s="13">
        <f t="shared" si="20"/>
        <v>0.93199701393845469</v>
      </c>
      <c r="U26" s="13">
        <f t="shared" si="21"/>
        <v>0.48172617144718805</v>
      </c>
    </row>
    <row r="27" spans="1:21" x14ac:dyDescent="0.25">
      <c r="A27" s="18">
        <v>11</v>
      </c>
      <c r="B27" s="14">
        <f t="shared" si="17"/>
        <v>1.85</v>
      </c>
      <c r="C27" s="13">
        <f t="shared" si="0"/>
        <v>5.8119464091411173</v>
      </c>
      <c r="D27" s="13">
        <f t="shared" si="1"/>
        <v>567.79601319270773</v>
      </c>
      <c r="E27" s="13">
        <f t="shared" si="2"/>
        <v>2.6880252142277672</v>
      </c>
      <c r="F27" s="13">
        <f t="shared" si="3"/>
        <v>2192.0945078960367</v>
      </c>
      <c r="G27" s="13">
        <f t="shared" si="4"/>
        <v>13.567231561272575</v>
      </c>
      <c r="H27" s="13">
        <f t="shared" si="5"/>
        <v>17.115762607717979</v>
      </c>
      <c r="I27" s="13">
        <f t="shared" si="6"/>
        <v>30.682994168990554</v>
      </c>
      <c r="J27" s="13">
        <f t="shared" ref="J27:J28" si="22">IF((H27-$B$6)/$B$14&gt;0,(H27-$B$6)/$B$14,0)</f>
        <v>12.389065209060123</v>
      </c>
      <c r="K27" s="13">
        <f t="shared" ref="K27:K28" si="23">IF((I27-$B$6)/$B$15&gt;0,(I27-$B$6)/$B$15,0)</f>
        <v>33.014025597584528</v>
      </c>
      <c r="L27" s="13">
        <f>G27/Железо!$D$24</f>
        <v>41.261661590336708</v>
      </c>
      <c r="M27" s="13">
        <f t="shared" si="18"/>
        <v>178.40253901046574</v>
      </c>
      <c r="N27" s="13">
        <f t="shared" si="19"/>
        <v>475.40196860521718</v>
      </c>
      <c r="O27" s="13">
        <f t="shared" si="11"/>
        <v>33.645760039345227</v>
      </c>
      <c r="P27" s="13">
        <f t="shared" si="12"/>
        <v>537.56718630037392</v>
      </c>
      <c r="Q27" s="13">
        <f t="shared" si="13"/>
        <v>212.04829904981096</v>
      </c>
      <c r="R27" s="13">
        <f t="shared" si="13"/>
        <v>1012.969154905591</v>
      </c>
      <c r="S27" s="15">
        <f t="shared" si="16"/>
        <v>920.67969331633537</v>
      </c>
      <c r="T27" s="13">
        <f t="shared" si="20"/>
        <v>0.84132973388557242</v>
      </c>
      <c r="U27" s="13">
        <f t="shared" si="21"/>
        <v>0.53068465480617255</v>
      </c>
    </row>
    <row r="28" spans="1:21" ht="15.75" thickBot="1" x14ac:dyDescent="0.3">
      <c r="A28" s="19">
        <v>12</v>
      </c>
      <c r="B28" s="22">
        <f>$B$8</f>
        <v>1.85</v>
      </c>
      <c r="C28" s="22">
        <f t="shared" si="0"/>
        <v>5.8119464091411173</v>
      </c>
      <c r="D28" s="22">
        <f t="shared" si="1"/>
        <v>619.41383257386303</v>
      </c>
      <c r="E28" s="22">
        <f t="shared" si="2"/>
        <v>2.6880252142277672</v>
      </c>
      <c r="F28" s="22">
        <f t="shared" si="3"/>
        <v>2845.9348682527057</v>
      </c>
      <c r="G28" s="22">
        <f t="shared" si="4"/>
        <v>14.800616248660992</v>
      </c>
      <c r="H28" s="22">
        <f t="shared" si="5"/>
        <v>18.780831935692341</v>
      </c>
      <c r="I28" s="22">
        <f t="shared" si="6"/>
        <v>33.581448184353327</v>
      </c>
      <c r="J28" s="22">
        <f t="shared" si="22"/>
        <v>19.984962001826652</v>
      </c>
      <c r="K28" s="22">
        <f t="shared" si="23"/>
        <v>38.89068649075368</v>
      </c>
      <c r="L28" s="22">
        <f>G28/Железо!$D$24</f>
        <v>45.01272173491278</v>
      </c>
      <c r="M28" s="22">
        <f t="shared" si="18"/>
        <v>287.78345282630374</v>
      </c>
      <c r="N28" s="22">
        <f t="shared" si="19"/>
        <v>560.02588546685297</v>
      </c>
      <c r="O28" s="22">
        <f t="shared" si="11"/>
        <v>87.550759771200163</v>
      </c>
      <c r="P28" s="22">
        <f t="shared" si="12"/>
        <v>745.97968777632161</v>
      </c>
      <c r="Q28" s="22">
        <f t="shared" si="13"/>
        <v>375.33421259750389</v>
      </c>
      <c r="R28" s="22">
        <f t="shared" si="13"/>
        <v>1306.0055732431747</v>
      </c>
      <c r="S28" s="20">
        <f t="shared" si="16"/>
        <v>1195.2926446661363</v>
      </c>
      <c r="T28" s="22">
        <f t="shared" si="20"/>
        <v>0.76673919714031846</v>
      </c>
      <c r="U28" s="22">
        <f t="shared" si="21"/>
        <v>0.57119181040234523</v>
      </c>
    </row>
  </sheetData>
  <mergeCells count="21">
    <mergeCell ref="T17:T18"/>
    <mergeCell ref="U17:U18"/>
    <mergeCell ref="L17:L18"/>
    <mergeCell ref="S17:S18"/>
    <mergeCell ref="N17:N18"/>
    <mergeCell ref="O17:O18"/>
    <mergeCell ref="P17:P18"/>
    <mergeCell ref="Q17:Q18"/>
    <mergeCell ref="R17:R18"/>
    <mergeCell ref="M17:M18"/>
    <mergeCell ref="A17:A18"/>
    <mergeCell ref="B17:B18"/>
    <mergeCell ref="C17:C18"/>
    <mergeCell ref="D17:D18"/>
    <mergeCell ref="E17:E18"/>
    <mergeCell ref="K17:K18"/>
    <mergeCell ref="F17:F18"/>
    <mergeCell ref="G17:G18"/>
    <mergeCell ref="H17:H18"/>
    <mergeCell ref="I17:I18"/>
    <mergeCell ref="J17:J18"/>
  </mergeCells>
  <conditionalFormatting sqref="S19:S28 Q19:Q28">
    <cfRule type="expression" dxfId="1" priority="27">
      <formula>IF(AND($Q19/$S19&lt;=1.15,$Q19/$S19&gt;=0.9),1,0)</formula>
    </cfRule>
  </conditionalFormatting>
  <conditionalFormatting sqref="R19:S28">
    <cfRule type="expression" dxfId="0" priority="28">
      <formula>IF(AND($R19/$S19&lt;=1.15,$R19/$S19&gt;=0.9),1,0)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Железо</vt:lpstr>
      <vt:lpstr>Ветер2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2017-04-08T05:14:50Z</dcterms:created>
  <dcterms:modified xsi:type="dcterms:W3CDTF">2018-06-29T03:45:37Z</dcterms:modified>
</cp:coreProperties>
</file>