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8.xml"/>
  <Override ContentType="application/vnd.openxmlformats-officedocument.drawing+xml" PartName="/xl/drawings/worksheetdrawing7.xml"/>
  <Override ContentType="application/vnd.openxmlformats-officedocument.drawing+xml" PartName="/xl/drawings/worksheetdrawing6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5%" sheetId="1" r:id="rId3"/>
    <sheet state="visible" name="10%" sheetId="2" r:id="rId4"/>
    <sheet state="visible" name="15%" sheetId="3" r:id="rId5"/>
    <sheet state="visible" name="20%" sheetId="4" r:id="rId6"/>
    <sheet state="visible" name="25%" sheetId="5" r:id="rId7"/>
    <sheet state="visible" name="Текущий профиль" sheetId="6" r:id="rId8"/>
    <sheet state="visible" name="расчет" sheetId="7" r:id="rId9"/>
    <sheet state="visible" name="геометрия лопасти" sheetId="8" r:id="rId10"/>
  </sheets>
  <definedNames/>
  <calcPr/>
</workbook>
</file>

<file path=xl/sharedStrings.xml><?xml version="1.0" encoding="utf-8"?>
<sst xmlns="http://schemas.openxmlformats.org/spreadsheetml/2006/main" count="474" uniqueCount="151">
  <si>
    <t>Су</t>
  </si>
  <si>
    <t>Re</t>
  </si>
  <si>
    <t>угол</t>
  </si>
  <si>
    <t>предел угла</t>
  </si>
  <si>
    <t>по углу Re1</t>
  </si>
  <si>
    <t>по углу Re2</t>
  </si>
  <si>
    <t>Re1</t>
  </si>
  <si>
    <t>Re2</t>
  </si>
  <si>
    <t>К</t>
  </si>
  <si>
    <t>Сy</t>
  </si>
  <si>
    <t>отн глубина</t>
  </si>
  <si>
    <t>диметр</t>
  </si>
  <si>
    <t>масса</t>
  </si>
  <si>
    <t>отн. координата фронт</t>
  </si>
  <si>
    <t>отн. координата тыл</t>
  </si>
  <si>
    <t>относительный радиус</t>
  </si>
  <si>
    <t>радиус</t>
  </si>
  <si>
    <t>местный радиус</t>
  </si>
  <si>
    <t>быстроходность</t>
  </si>
  <si>
    <t>Скорость ветра</t>
  </si>
  <si>
    <t>местная быстроходность</t>
  </si>
  <si>
    <t>Zu</t>
  </si>
  <si>
    <t>степень торможения</t>
  </si>
  <si>
    <t>угол набегания</t>
  </si>
  <si>
    <t>местная скорость набегания</t>
  </si>
  <si>
    <t>Степень торможения</t>
  </si>
  <si>
    <t>кол-во лопастей</t>
  </si>
  <si>
    <t>внешний диаметр трубы, мм</t>
  </si>
  <si>
    <t>коррекция угла, градусов</t>
  </si>
  <si>
    <t>масса погонного метра трубы, кг</t>
  </si>
  <si>
    <t>диаметр винта, м</t>
  </si>
  <si>
    <t>количество лопастей</t>
  </si>
  <si>
    <t>номинальная скорость ветра, м/с</t>
  </si>
  <si>
    <t>координаты лекала, мм</t>
  </si>
  <si>
    <t>Жуковский/Сабинин 0/1</t>
  </si>
  <si>
    <t>фронт 1,0R</t>
  </si>
  <si>
    <t>тыл 1,0R</t>
  </si>
  <si>
    <t>1,0R</t>
  </si>
  <si>
    <t>коэффициент коррекции Су</t>
  </si>
  <si>
    <t>фронт 0,5R</t>
  </si>
  <si>
    <t>тыл 0,5R</t>
  </si>
  <si>
    <t>0,5R</t>
  </si>
  <si>
    <t>скорость руления, рад/сек</t>
  </si>
  <si>
    <t>фронт 0,2R</t>
  </si>
  <si>
    <t>тыл 0,2R</t>
  </si>
  <si>
    <t>0,2R</t>
  </si>
  <si>
    <t>стартовая скорость ветра, м/с</t>
  </si>
  <si>
    <t>масса лопасти, кг</t>
  </si>
  <si>
    <t>компенсирующий угол конусности, градусов</t>
  </si>
  <si>
    <t>обороты, об/мин</t>
  </si>
  <si>
    <t>центробежная сила лопасти, н</t>
  </si>
  <si>
    <t>мощность, вт</t>
  </si>
  <si>
    <t>изгибающий а/д момент в корне лопасти, н*м</t>
  </si>
  <si>
    <t>осевая сила на винт, н</t>
  </si>
  <si>
    <t>гироскопический момент в корне лопасти, н*м</t>
  </si>
  <si>
    <t>компенсирующий прогиб, м</t>
  </si>
  <si>
    <t>гироскопическая сила в корне лопасти, н</t>
  </si>
  <si>
    <t>КИЭВ</t>
  </si>
  <si>
    <t>стартовый момент, н*м</t>
  </si>
  <si>
    <t>Момент инерции винта Кг*м*м</t>
  </si>
  <si>
    <t>фронт</t>
  </si>
  <si>
    <t>Тыл</t>
  </si>
  <si>
    <t>торможение</t>
  </si>
  <si>
    <t>проверка диапазона глубины желобка</t>
  </si>
  <si>
    <t>радиус, м</t>
  </si>
  <si>
    <t>координата фронт, мм</t>
  </si>
  <si>
    <t>координата тыл, мм</t>
  </si>
  <si>
    <t>проверка диапазона угла</t>
  </si>
  <si>
    <t>Хорда, м</t>
  </si>
  <si>
    <t>хорда расчетная, м</t>
  </si>
  <si>
    <t>отношение действительной хорды к расчетной</t>
  </si>
  <si>
    <t>КИЭВ-I</t>
  </si>
  <si>
    <t>элемент а/д осевой силы, н</t>
  </si>
  <si>
    <t>элемент гир силы, н</t>
  </si>
  <si>
    <t>Угол атаки</t>
  </si>
  <si>
    <t>глубина желобка</t>
  </si>
  <si>
    <t>I-стартовый момент</t>
  </si>
  <si>
    <t>диаметр трубы</t>
  </si>
  <si>
    <t>средний диаметр</t>
  </si>
  <si>
    <t>длина дуги</t>
  </si>
  <si>
    <t>хорда по среднему диаметру</t>
  </si>
  <si>
    <t>отн. глубина желобка</t>
  </si>
  <si>
    <t>угол раствора дуги</t>
  </si>
  <si>
    <t>угол поворота хорды, град</t>
  </si>
  <si>
    <t>отн. хорда</t>
  </si>
  <si>
    <t>минус тыл</t>
  </si>
  <si>
    <t>угол заклинения</t>
  </si>
  <si>
    <t>Выбор Ж/С</t>
  </si>
  <si>
    <t>Внешний радиус трубы</t>
  </si>
  <si>
    <t>площадь сечения элемента</t>
  </si>
  <si>
    <t>масса метра трубы</t>
  </si>
  <si>
    <t>плотность материала</t>
  </si>
  <si>
    <t>масса элемента</t>
  </si>
  <si>
    <t>Скорость вращения</t>
  </si>
  <si>
    <t>ЦБС</t>
  </si>
  <si>
    <t>Сумма Цбс</t>
  </si>
  <si>
    <t>Осевое давление</t>
  </si>
  <si>
    <t>скорость руления</t>
  </si>
  <si>
    <t>Сумма осевой</t>
  </si>
  <si>
    <t>угол компенсации прогиба</t>
  </si>
  <si>
    <t>i перемешение</t>
  </si>
  <si>
    <t>Сумма перемещений</t>
  </si>
  <si>
    <t>Сумма а/д изгиб момента</t>
  </si>
  <si>
    <t>Сумма гир момента</t>
  </si>
  <si>
    <t>Сустарт</t>
  </si>
  <si>
    <t>элемент стартового момента</t>
  </si>
  <si>
    <t>X1</t>
  </si>
  <si>
    <t>X2</t>
  </si>
  <si>
    <t>X3</t>
  </si>
  <si>
    <t>x</t>
  </si>
  <si>
    <t>y1</t>
  </si>
  <si>
    <t>y2</t>
  </si>
  <si>
    <t>y3</t>
  </si>
  <si>
    <t>a</t>
  </si>
  <si>
    <t>b</t>
  </si>
  <si>
    <t>c</t>
  </si>
  <si>
    <t>y</t>
  </si>
  <si>
    <t>коррекция угла</t>
  </si>
  <si>
    <t>коррекция лекала</t>
  </si>
  <si>
    <t>момент инерции</t>
  </si>
  <si>
    <t>Ктр</t>
  </si>
  <si>
    <t>Кокр</t>
  </si>
  <si>
    <t>Кобщ</t>
  </si>
  <si>
    <t>bi</t>
  </si>
  <si>
    <t>проверка диапазона</t>
  </si>
  <si>
    <t>К приведенное</t>
  </si>
  <si>
    <t>i мощность</t>
  </si>
  <si>
    <t>к общ сум</t>
  </si>
  <si>
    <t>К конц</t>
  </si>
  <si>
    <t>К центр</t>
  </si>
  <si>
    <t>Кобщ С</t>
  </si>
  <si>
    <t>bi C</t>
  </si>
  <si>
    <t>I мощность С</t>
  </si>
  <si>
    <t>Количество лопастей</t>
  </si>
  <si>
    <t>Скорость ветра, м/с</t>
  </si>
  <si>
    <t>обороты винта на указанном ветре, об/мин</t>
  </si>
  <si>
    <t>Быстроходность винта, Z</t>
  </si>
  <si>
    <t>диаметр винта</t>
  </si>
  <si>
    <t>мм</t>
  </si>
  <si>
    <t>Диаметр трубы, мм</t>
  </si>
  <si>
    <t>Координата лекала фронт, мм</t>
  </si>
  <si>
    <t>Координата лекала тыл, мм</t>
  </si>
  <si>
    <t>Длина дуги лопасти, мм</t>
  </si>
  <si>
    <t>Радиус лопасти, мм</t>
  </si>
  <si>
    <t>Угол заклинения лопасти</t>
  </si>
  <si>
    <t>Глубина желобка, %</t>
  </si>
  <si>
    <t>Длина хорды, мм</t>
  </si>
  <si>
    <t>Z на каждом сечении</t>
  </si>
  <si>
    <t>Скорость набегания потока на указанном ветре, м/с</t>
  </si>
  <si>
    <t>Re на указанном ветре</t>
  </si>
  <si>
    <t>-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</si>
</sst>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00"/>
    <numFmt numFmtId="165" formatCode="0.0000"/>
    <numFmt numFmtId="166" formatCode="0.0"/>
  </numFmts>
  <fonts count="9">
    <font>
      <sz val="10.0"/>
      <color rgb="FF000000"/>
      <name val="Arial"/>
    </font>
    <font>
      <sz val="10.0"/>
      <name val="Arial"/>
    </font>
    <font>
      <sz val="10.0"/>
      <color rgb="FFFF0000"/>
      <name val="Arial"/>
    </font>
    <font/>
    <font>
      <b/>
      <sz val="10.0"/>
      <color rgb="FFFF0000"/>
      <name val="Arial"/>
    </font>
    <font>
      <b/>
      <i/>
      <sz val="10.0"/>
      <name val="Arial"/>
    </font>
    <font>
      <b/>
      <sz val="10.0"/>
      <name val="Arial"/>
    </font>
    <font>
      <sz val="9.0"/>
      <name val="Arial"/>
    </font>
    <font>
      <sz val="8.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CCFFCC"/>
        <bgColor rgb="FFCCFFCC"/>
      </patternFill>
    </fill>
    <fill>
      <patternFill patternType="solid">
        <fgColor rgb="FF00FF00"/>
        <bgColor rgb="FF00FF00"/>
      </patternFill>
    </fill>
  </fills>
  <borders count="12">
    <border>
      <left/>
      <right/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/>
    </xf>
    <xf borderId="0" fillId="0" fontId="1" numFmtId="0" xfId="0" applyFont="1"/>
    <xf borderId="0" fillId="0" fontId="1" numFmtId="0" xfId="0" applyFont="1"/>
    <xf borderId="0" fillId="0" fontId="2" numFmtId="0" xfId="0" applyFont="1"/>
    <xf borderId="0" fillId="0" fontId="1" numFmtId="0" xfId="0" applyFont="1"/>
    <xf borderId="0" fillId="0" fontId="0" numFmtId="0" xfId="0" applyFont="1"/>
    <xf borderId="0" fillId="0" fontId="1" numFmtId="0" xfId="0" applyAlignment="1" applyFont="1">
      <alignment horizontal="center"/>
    </xf>
    <xf borderId="0" fillId="0" fontId="1" numFmtId="0" xfId="0" applyFont="1"/>
    <xf borderId="1" fillId="0" fontId="1" numFmtId="0" xfId="0" applyBorder="1" applyFont="1"/>
    <xf borderId="0" fillId="0" fontId="1" numFmtId="0" xfId="0" applyAlignment="1" applyFont="1">
      <alignment wrapText="1"/>
    </xf>
    <xf borderId="2" fillId="0" fontId="1" numFmtId="0" xfId="0" applyBorder="1" applyFont="1"/>
    <xf borderId="3" fillId="0" fontId="3" numFmtId="0" xfId="0" applyBorder="1" applyFont="1"/>
    <xf borderId="4" fillId="0" fontId="3" numFmtId="0" xfId="0" applyBorder="1" applyFont="1"/>
    <xf borderId="5" fillId="2" fontId="1" numFmtId="0" xfId="0" applyAlignment="1" applyBorder="1" applyFill="1" applyFont="1">
      <alignment/>
    </xf>
    <xf borderId="1" fillId="0" fontId="1" numFmtId="0" xfId="0" applyAlignment="1" applyBorder="1" applyFont="1">
      <alignment wrapText="1"/>
    </xf>
    <xf borderId="6" fillId="0" fontId="3" numFmtId="0" xfId="0" applyBorder="1" applyFont="1"/>
    <xf borderId="5" fillId="2" fontId="1" numFmtId="0" xfId="0" applyBorder="1" applyFont="1"/>
    <xf borderId="2" fillId="0" fontId="1" numFmtId="2" xfId="0" applyBorder="1" applyFont="1" applyNumberFormat="1"/>
    <xf borderId="5" fillId="0" fontId="1" numFmtId="0" xfId="0" applyBorder="1" applyFont="1"/>
    <xf borderId="5" fillId="2" fontId="4" numFmtId="0" xfId="0" applyAlignment="1" applyBorder="1" applyFont="1">
      <alignment/>
    </xf>
    <xf borderId="2" fillId="2" fontId="4" numFmtId="0" xfId="0" applyBorder="1" applyFont="1"/>
    <xf borderId="5" fillId="3" fontId="1" numFmtId="2" xfId="0" applyBorder="1" applyFill="1" applyFont="1" applyNumberFormat="1"/>
    <xf borderId="5" fillId="3" fontId="1" numFmtId="1" xfId="0" applyBorder="1" applyFont="1" applyNumberFormat="1"/>
    <xf borderId="5" fillId="3" fontId="1" numFmtId="164" xfId="0" applyBorder="1" applyFont="1" applyNumberFormat="1"/>
    <xf borderId="5" fillId="3" fontId="1" numFmtId="165" xfId="0" applyBorder="1" applyFont="1" applyNumberFormat="1"/>
    <xf borderId="5" fillId="3" fontId="1" numFmtId="0" xfId="0" applyBorder="1" applyFont="1"/>
    <xf borderId="0" fillId="0" fontId="1" numFmtId="0" xfId="0" applyAlignment="1" applyFont="1">
      <alignment horizontal="center" wrapText="1"/>
    </xf>
    <xf borderId="0" fillId="0" fontId="4" numFmtId="0" xfId="0" applyFont="1"/>
    <xf borderId="5" fillId="3" fontId="1" numFmtId="166" xfId="0" applyBorder="1" applyFont="1" applyNumberFormat="1"/>
    <xf borderId="1" fillId="0" fontId="1" numFmtId="0" xfId="0" applyBorder="1" applyFont="1"/>
    <xf borderId="0" fillId="0" fontId="1" numFmtId="166" xfId="0" applyFont="1" applyNumberFormat="1"/>
    <xf borderId="0" fillId="0" fontId="5" numFmtId="0" xfId="0" applyFont="1"/>
    <xf borderId="0" fillId="0" fontId="6" numFmtId="0" xfId="0" applyFont="1"/>
    <xf borderId="5" fillId="2" fontId="1" numFmtId="166" xfId="0" applyAlignment="1" applyBorder="1" applyFont="1" applyNumberFormat="1">
      <alignment/>
    </xf>
    <xf borderId="2" fillId="2" fontId="1" numFmtId="0" xfId="0" applyBorder="1" applyFont="1"/>
    <xf borderId="5" fillId="4" fontId="1" numFmtId="0" xfId="0" applyBorder="1" applyFill="1" applyFont="1"/>
    <xf borderId="7" fillId="0" fontId="1" numFmtId="0" xfId="0" applyBorder="1" applyFont="1"/>
    <xf borderId="8" fillId="0" fontId="1" numFmtId="0" xfId="0" applyBorder="1" applyFont="1"/>
    <xf borderId="4" fillId="2" fontId="1" numFmtId="0" xfId="0" applyBorder="1" applyFont="1"/>
    <xf borderId="2" fillId="3" fontId="7" numFmtId="0" xfId="0" applyBorder="1" applyFont="1"/>
    <xf borderId="2" fillId="3" fontId="6" numFmtId="2" xfId="0" applyBorder="1" applyFont="1" applyNumberFormat="1"/>
    <xf borderId="2" fillId="2" fontId="6" numFmtId="0" xfId="0" applyBorder="1" applyFont="1"/>
    <xf borderId="5" fillId="4" fontId="6" numFmtId="0" xfId="0" applyBorder="1" applyFont="1"/>
    <xf borderId="6" fillId="0" fontId="1" numFmtId="0" xfId="0" applyBorder="1" applyFont="1"/>
    <xf borderId="9" fillId="0" fontId="1" numFmtId="0" xfId="0" applyBorder="1" applyFont="1"/>
    <xf borderId="10" fillId="0" fontId="1" numFmtId="0" xfId="0" applyBorder="1" applyFont="1"/>
    <xf borderId="5" fillId="2" fontId="1" numFmtId="0" xfId="0" applyAlignment="1" applyBorder="1" applyFont="1">
      <alignment wrapText="1"/>
    </xf>
    <xf borderId="5" fillId="0" fontId="1" numFmtId="0" xfId="0" applyAlignment="1" applyBorder="1" applyFont="1">
      <alignment wrapText="1"/>
    </xf>
    <xf borderId="5" fillId="0" fontId="8" numFmtId="0" xfId="0" applyAlignment="1" applyBorder="1" applyFont="1">
      <alignment wrapText="1"/>
    </xf>
    <xf borderId="11" fillId="0" fontId="1" numFmtId="0" xfId="0" applyAlignment="1" applyBorder="1" applyFont="1">
      <alignment wrapText="1"/>
    </xf>
    <xf borderId="5" fillId="4" fontId="1" numFmtId="166" xfId="0" applyBorder="1" applyFont="1" applyNumberFormat="1"/>
    <xf borderId="5" fillId="0" fontId="6" numFmtId="0" xfId="0" applyAlignment="1" applyBorder="1" applyFont="1">
      <alignment horizontal="center"/>
    </xf>
    <xf borderId="5" fillId="0" fontId="1" numFmtId="2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scatterChart>
        <c:scatterStyle val="lineMarker"/>
        <c:ser>
          <c:idx val="0"/>
          <c:order val="0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xVal>
            <c:numRef>
              <c:f>'расчет'!$D$22:$D$42</c:f>
            </c:numRef>
          </c:xVal>
          <c:yVal>
            <c:numRef>
              <c:f>'расчет'!$E$22:$E$42</c:f>
            </c:numRef>
          </c:yVal>
        </c:ser>
        <c:ser>
          <c:idx val="1"/>
          <c:order val="1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xVal>
            <c:numRef>
              <c:f>'расчет'!$D$22:$D$42</c:f>
            </c:numRef>
          </c:xVal>
          <c:yVal>
            <c:numRef>
              <c:f>'расчет'!$AC$22:$AC$42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566372"/>
        <c:axId val="1899981396"/>
      </c:scatterChart>
      <c:valAx>
        <c:axId val="549566372"/>
        <c:scaling>
          <c:orientation val="minMax"/>
        </c:scaling>
        <c:delete val="0"/>
        <c:axPos val="b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899981396"/>
      </c:valAx>
      <c:valAx>
        <c:axId val="1899981396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549566372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spPr>
            <a:ln cmpd="sng"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'геометрия лопасти'!$E$8:$E$28</c:f>
            </c:strRef>
          </c:cat>
          <c:val>
            <c:numRef>
              <c:f>'геометрия лопасти'!$AN$8:$AN$28</c:f>
            </c:numRef>
          </c:val>
          <c:smooth val="1"/>
        </c:ser>
        <c:ser>
          <c:idx val="1"/>
          <c:order val="1"/>
          <c:spPr>
            <a:ln cmpd="sng"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'геометрия лопасти'!$E$8:$E$28</c:f>
            </c:strRef>
          </c:cat>
          <c:val>
            <c:numRef>
              <c:f>'геометрия лопасти'!$B$8:$B$28</c:f>
            </c:numRef>
          </c:val>
          <c:smooth val="1"/>
        </c:ser>
        <c:axId val="1040591309"/>
        <c:axId val="1102211130"/>
      </c:lineChart>
      <c:catAx>
        <c:axId val="1040591309"/>
        <c:scaling>
          <c:orientation val="minMax"/>
        </c:scaling>
        <c:delete val="0"/>
        <c:axPos val="b"/>
        <c:txPr>
          <a:bodyPr/>
          <a:lstStyle/>
          <a:p>
            <a:pPr lvl="0">
              <a:defRPr/>
            </a:pPr>
          </a:p>
        </c:txPr>
        <c:crossAx val="1102211130"/>
      </c:catAx>
      <c:valAx>
        <c:axId val="1102211130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040591309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worksheetdrawing7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worksheetdrawing8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12</xdr:col>
      <xdr:colOff>38100</xdr:colOff>
      <xdr:row>9</xdr:row>
      <xdr:rowOff>133350</xdr:rowOff>
    </xdr:from>
    <xdr:to>
      <xdr:col>27</xdr:col>
      <xdr:colOff>38100</xdr:colOff>
      <xdr:row>19</xdr:row>
      <xdr:rowOff>57150</xdr:rowOff>
    </xdr:to>
    <xdr:graphicFrame>
      <xdr:nvGraphicFramePr>
        <xdr:cNvPr descr="Chart 0"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drawings/worksheet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1</xdr:col>
      <xdr:colOff>0</xdr:colOff>
      <xdr:row>28</xdr:row>
      <xdr:rowOff>38100</xdr:rowOff>
    </xdr:from>
    <xdr:to>
      <xdr:col>18</xdr:col>
      <xdr:colOff>276225</xdr:colOff>
      <xdr:row>40</xdr:row>
      <xdr:rowOff>19050</xdr:rowOff>
    </xdr:to>
    <xdr:graphicFrame>
      <xdr:nvGraphicFramePr>
        <xdr:cNvPr descr="Chart 0"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36" width="9.14"/>
    <col customWidth="1" min="37" max="37" width="10.29"/>
    <col customWidth="1" min="38" max="51" width="9.14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ht="12.75" customHeight="1">
      <c r="A2" s="1"/>
      <c r="B2" s="1"/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/>
      <c r="W2" s="1" t="s">
        <v>1</v>
      </c>
      <c r="X2" s="1"/>
      <c r="Y2" s="1"/>
      <c r="Z2" s="1"/>
      <c r="AA2" s="1"/>
      <c r="AB2" s="1" t="s">
        <v>2</v>
      </c>
      <c r="AC2" s="1" t="s">
        <v>3</v>
      </c>
      <c r="AE2" s="1"/>
      <c r="AF2" s="1"/>
      <c r="AG2" s="1"/>
      <c r="AH2" s="1"/>
      <c r="AI2" s="1" t="s">
        <v>4</v>
      </c>
      <c r="AK2" s="1" t="s">
        <v>5</v>
      </c>
      <c r="AM2" s="1" t="s">
        <v>6</v>
      </c>
      <c r="AN2" s="1" t="s">
        <v>7</v>
      </c>
      <c r="AO2" s="1" t="s">
        <v>0</v>
      </c>
      <c r="AP2" s="1"/>
      <c r="AQ2" s="1"/>
      <c r="AR2" s="1"/>
      <c r="AS2" s="1"/>
      <c r="AT2" s="1"/>
      <c r="AU2" s="1"/>
      <c r="AV2" s="1"/>
      <c r="AW2" s="1"/>
      <c r="AX2" s="1"/>
      <c r="AY2" s="1"/>
    </row>
    <row r="3" ht="12.75" customHeight="1">
      <c r="A3" s="1"/>
      <c r="B3" s="1"/>
      <c r="C3" s="1">
        <v>50000.0</v>
      </c>
      <c r="D3" s="1">
        <v>75000.0</v>
      </c>
      <c r="E3" s="1">
        <v>100000.0</v>
      </c>
      <c r="F3" s="1">
        <v>125000.0</v>
      </c>
      <c r="G3" s="1">
        <v>150000.0</v>
      </c>
      <c r="H3" s="1">
        <v>175000.0</v>
      </c>
      <c r="I3" s="1">
        <v>200000.0</v>
      </c>
      <c r="J3" s="1">
        <v>225000.0</v>
      </c>
      <c r="K3" s="1">
        <v>250000.0</v>
      </c>
      <c r="L3" s="1">
        <v>275000.0</v>
      </c>
      <c r="M3" s="1">
        <v>300000.0</v>
      </c>
      <c r="N3" s="1">
        <v>325000.0</v>
      </c>
      <c r="O3" s="1">
        <v>350000.0</v>
      </c>
      <c r="P3" s="1">
        <v>375000.0</v>
      </c>
      <c r="Q3" s="1">
        <v>400000.0</v>
      </c>
      <c r="R3" s="1">
        <v>425000.0</v>
      </c>
      <c r="S3" s="1">
        <v>450000.0</v>
      </c>
      <c r="T3" s="1">
        <v>475000.0</v>
      </c>
      <c r="U3" s="1">
        <v>500000.0</v>
      </c>
      <c r="V3" s="1"/>
      <c r="W3" s="2" t="str">
        <f>IF('расчет'!R22&lt;50000,50000,'расчет'!R22)</f>
        <v>163883.2139</v>
      </c>
      <c r="X3" s="2" t="str">
        <f t="shared" ref="X3:X19" si="1">IF((W3&gt;475000),475000,(ROUNDDOWN((W3/25000),0))*25000)</f>
        <v>150000</v>
      </c>
      <c r="Y3" s="2" t="str">
        <f t="shared" ref="Y3:Y19" si="2">X3+25000</f>
        <v>175000</v>
      </c>
      <c r="Z3" s="2" t="str">
        <f t="shared" ref="Z3:Z19" si="3">IF((W3&gt;500000),0,(Y3-W3)/25000)</f>
        <v>0.444671445</v>
      </c>
      <c r="AA3" s="2" t="str">
        <f t="shared" ref="AA3:AA19" si="4">1-Z3</f>
        <v>0.555328555</v>
      </c>
      <c r="AB3" s="2" t="str">
        <f>'расчет'!P22</f>
        <v>7.018095386</v>
      </c>
      <c r="AC3" s="1">
        <v>-2.0</v>
      </c>
      <c r="AD3" s="1">
        <v>21.0</v>
      </c>
      <c r="AE3" s="2" t="str">
        <f t="shared" ref="AE3:AE19" si="6">IF(AB3&gt;0,ROUNDDOWN((AB3/0.5),0)*0.5,ROUNDUP((AB3/0.5),0)*0.5)</f>
        <v>7</v>
      </c>
      <c r="AF3" s="2" t="str">
        <f t="shared" ref="AF3:AF19" si="7">AE3+0.5</f>
        <v>7.5</v>
      </c>
      <c r="AG3" s="2" t="str">
        <f t="shared" ref="AG3:AG19" si="8">(AF3-AB3)/0.5</f>
        <v>0.9638092287</v>
      </c>
      <c r="AH3" s="2" t="str">
        <f t="shared" ref="AH3:AH19" si="9">1-AG3</f>
        <v>0.03619077129</v>
      </c>
      <c r="AI3" s="2" t="str">
        <f>VLOOKUP(AE3,B4:U50,(X3/25000),FALSE)</f>
        <v>0.9673</v>
      </c>
      <c r="AJ3" s="2" t="str">
        <f>VLOOKUP(AF3,B4:U50,(X3/25000),FALSE)</f>
        <v>1.0005</v>
      </c>
      <c r="AK3" s="2" t="str">
        <f>VLOOKUP(AE3,B4:U50,(Y3/25000),FALSE)</f>
        <v>0.9589</v>
      </c>
      <c r="AL3" s="2" t="str">
        <f>VLOOKUP(AF3,B4:U50,(Y3/25000),FALSE)</f>
        <v>0.993</v>
      </c>
      <c r="AM3" s="2" t="str">
        <f t="shared" ref="AM3:AM19" si="10">AI3*AG3+AJ3*AH3</f>
        <v>0.9685015336</v>
      </c>
      <c r="AN3" s="2" t="str">
        <f t="shared" ref="AN3:AN19" si="11">AK3*AG3+AL3*AH3</f>
        <v>0.9601341053</v>
      </c>
      <c r="AO3" s="2" t="str">
        <f t="shared" ref="AO3:AO19" si="12">AM3*Z3+AN3*AA3</f>
        <v>0.9638548617</v>
      </c>
      <c r="AP3" s="1"/>
      <c r="AQ3" s="1"/>
      <c r="AR3" s="1"/>
      <c r="AS3" s="1"/>
      <c r="AT3" s="1"/>
      <c r="AU3" s="1"/>
      <c r="AV3" s="1"/>
      <c r="AW3" s="1"/>
      <c r="AX3" s="1"/>
      <c r="AY3" s="1"/>
    </row>
    <row r="4" ht="12.75" customHeight="1">
      <c r="A4" s="1"/>
      <c r="B4" s="1">
        <v>-2.0</v>
      </c>
      <c r="C4" s="1">
        <v>0.01</v>
      </c>
      <c r="D4" s="1">
        <v>0.01</v>
      </c>
      <c r="E4" s="1">
        <v>0.01</v>
      </c>
      <c r="F4" s="1">
        <v>0.01</v>
      </c>
      <c r="G4" s="1">
        <v>0.01</v>
      </c>
      <c r="H4" s="1">
        <v>0.01</v>
      </c>
      <c r="I4" s="1">
        <v>0.01</v>
      </c>
      <c r="J4" s="1">
        <v>0.01</v>
      </c>
      <c r="K4" s="1">
        <v>0.01</v>
      </c>
      <c r="L4" s="1">
        <v>0.01</v>
      </c>
      <c r="M4" s="1">
        <v>0.01</v>
      </c>
      <c r="N4" s="1">
        <v>0.0178</v>
      </c>
      <c r="O4" s="1">
        <v>0.0256</v>
      </c>
      <c r="P4" s="1">
        <v>0.0302</v>
      </c>
      <c r="Q4" s="1">
        <v>0.0348</v>
      </c>
      <c r="R4" s="1">
        <v>0.04075</v>
      </c>
      <c r="S4" s="1">
        <v>0.0467</v>
      </c>
      <c r="T4" s="1">
        <v>0.0525</v>
      </c>
      <c r="U4" s="1">
        <v>0.0583</v>
      </c>
      <c r="V4" s="1"/>
      <c r="W4" s="2" t="str">
        <f>IF('расчет'!R23&lt;50000,50000,'расчет'!R23)</f>
        <v>161126.0378</v>
      </c>
      <c r="X4" s="2" t="str">
        <f t="shared" si="1"/>
        <v>150000</v>
      </c>
      <c r="Y4" s="2" t="str">
        <f t="shared" si="2"/>
        <v>175000</v>
      </c>
      <c r="Z4" s="2" t="str">
        <f t="shared" si="3"/>
        <v>0.5549584897</v>
      </c>
      <c r="AA4" s="2" t="str">
        <f t="shared" si="4"/>
        <v>0.4450415103</v>
      </c>
      <c r="AB4" s="2" t="str">
        <f>'расчет'!P23</f>
        <v>7.75866912</v>
      </c>
      <c r="AC4" s="2" t="str">
        <f t="shared" ref="AC4:AD4" si="5">AC3</f>
        <v>-2</v>
      </c>
      <c r="AD4" s="2" t="str">
        <f t="shared" si="5"/>
        <v>21</v>
      </c>
      <c r="AE4" s="2" t="str">
        <f t="shared" si="6"/>
        <v>7.5</v>
      </c>
      <c r="AF4" s="2" t="str">
        <f t="shared" si="7"/>
        <v>8</v>
      </c>
      <c r="AG4" s="2" t="str">
        <f t="shared" si="8"/>
        <v>0.4826617596</v>
      </c>
      <c r="AH4" s="2" t="str">
        <f t="shared" si="9"/>
        <v>0.5173382404</v>
      </c>
      <c r="AI4" s="2" t="str">
        <f>VLOOKUP(AE4,B4:U50,(X4/25000),FALSE)</f>
        <v>1.0005</v>
      </c>
      <c r="AJ4" s="2" t="str">
        <f>VLOOKUP(AF4,B4:U50,(X4/25000),FALSE)</f>
        <v>1.0356</v>
      </c>
      <c r="AK4" s="2" t="str">
        <f>VLOOKUP(AE4,B4:U50,(Y4/25000),FALSE)</f>
        <v>0.993</v>
      </c>
      <c r="AL4" s="2" t="str">
        <f>VLOOKUP(AF4,B4:U50,(Y4/25000),FALSE)</f>
        <v>1.0342</v>
      </c>
      <c r="AM4" s="2" t="str">
        <f t="shared" si="10"/>
        <v>1.018658572</v>
      </c>
      <c r="AN4" s="2" t="str">
        <f t="shared" si="11"/>
        <v>1.014314336</v>
      </c>
      <c r="AO4" s="2" t="str">
        <f t="shared" si="12"/>
        <v>1.016725207</v>
      </c>
      <c r="AP4" s="1"/>
      <c r="AQ4" s="1"/>
      <c r="AR4" s="1"/>
      <c r="AS4" s="1"/>
      <c r="AT4" s="1"/>
      <c r="AU4" s="1"/>
      <c r="AV4" s="1"/>
      <c r="AW4" s="1"/>
      <c r="AX4" s="1"/>
      <c r="AY4" s="1"/>
    </row>
    <row r="5" ht="12.75" customHeight="1">
      <c r="A5" s="1"/>
      <c r="B5" s="1">
        <v>-1.5</v>
      </c>
      <c r="C5" s="1">
        <v>0.01</v>
      </c>
      <c r="D5" s="1">
        <v>0.01</v>
      </c>
      <c r="E5" s="1">
        <v>0.01</v>
      </c>
      <c r="F5" s="1">
        <v>0.01</v>
      </c>
      <c r="G5" s="1">
        <v>0.01</v>
      </c>
      <c r="H5" s="1">
        <v>0.01</v>
      </c>
      <c r="I5" s="1">
        <v>0.01</v>
      </c>
      <c r="J5" s="1">
        <v>0.01</v>
      </c>
      <c r="K5" s="1">
        <v>0.01</v>
      </c>
      <c r="L5" s="1">
        <v>0.03215</v>
      </c>
      <c r="M5" s="1">
        <v>0.0543</v>
      </c>
      <c r="N5" s="1">
        <v>0.069625</v>
      </c>
      <c r="O5" s="1">
        <v>0.08495</v>
      </c>
      <c r="P5" s="1">
        <v>0.092675</v>
      </c>
      <c r="Q5" s="1">
        <v>0.1004</v>
      </c>
      <c r="R5" s="1">
        <v>0.10175</v>
      </c>
      <c r="S5" s="1">
        <v>0.1031</v>
      </c>
      <c r="T5" s="1">
        <v>0.10805</v>
      </c>
      <c r="U5" s="1">
        <v>0.113</v>
      </c>
      <c r="V5" s="1"/>
      <c r="W5" s="2" t="str">
        <f>IF('расчет'!R24&lt;50000,50000,'расчет'!R24)</f>
        <v>158297.851</v>
      </c>
      <c r="X5" s="2" t="str">
        <f t="shared" si="1"/>
        <v>150000</v>
      </c>
      <c r="Y5" s="2" t="str">
        <f t="shared" si="2"/>
        <v>175000</v>
      </c>
      <c r="Z5" s="2" t="str">
        <f t="shared" si="3"/>
        <v>0.6680859584</v>
      </c>
      <c r="AA5" s="2" t="str">
        <f t="shared" si="4"/>
        <v>0.3319140416</v>
      </c>
      <c r="AB5" s="2" t="str">
        <f>'расчет'!P24</f>
        <v>8.407959642</v>
      </c>
      <c r="AC5" s="2" t="str">
        <f t="shared" ref="AC5:AD5" si="13">AC4</f>
        <v>-2</v>
      </c>
      <c r="AD5" s="2" t="str">
        <f t="shared" si="13"/>
        <v>21</v>
      </c>
      <c r="AE5" s="2" t="str">
        <f t="shared" si="6"/>
        <v>8</v>
      </c>
      <c r="AF5" s="2" t="str">
        <f t="shared" si="7"/>
        <v>8.5</v>
      </c>
      <c r="AG5" s="2" t="str">
        <f t="shared" si="8"/>
        <v>0.1840807162</v>
      </c>
      <c r="AH5" s="2" t="str">
        <f t="shared" si="9"/>
        <v>0.8159192838</v>
      </c>
      <c r="AI5" s="2" t="str">
        <f>VLOOKUP(AE5,B4:U50,(X5/25000),FALSE)</f>
        <v>1.0356</v>
      </c>
      <c r="AJ5" s="2" t="str">
        <f>VLOOKUP(AF5,B4:U50,(X5/25000),FALSE)</f>
        <v>1.0718</v>
      </c>
      <c r="AK5" s="2" t="str">
        <f>VLOOKUP(AE5,B4:U50,(Y5/25000),FALSE)</f>
        <v>1.0342</v>
      </c>
      <c r="AL5" s="2" t="str">
        <f>VLOOKUP(AF5,B4:U50,(Y5/25000),FALSE)</f>
        <v>1.0624</v>
      </c>
      <c r="AM5" s="2" t="str">
        <f t="shared" si="10"/>
        <v>1.065136278</v>
      </c>
      <c r="AN5" s="2" t="str">
        <f t="shared" si="11"/>
        <v>1.057208924</v>
      </c>
      <c r="AO5" s="2" t="str">
        <f t="shared" si="12"/>
        <v>1.062505078</v>
      </c>
      <c r="AP5" s="1"/>
      <c r="AQ5" s="1"/>
      <c r="AR5" s="1"/>
      <c r="AS5" s="1"/>
      <c r="AT5" s="1"/>
      <c r="AU5" s="1"/>
      <c r="AV5" s="1"/>
      <c r="AW5" s="1"/>
      <c r="AX5" s="1"/>
      <c r="AY5" s="1"/>
    </row>
    <row r="6" ht="12.75" customHeight="1">
      <c r="A6" s="1"/>
      <c r="B6" s="1">
        <v>-1.0</v>
      </c>
      <c r="C6" s="1">
        <v>0.01</v>
      </c>
      <c r="D6" s="1">
        <v>0.01</v>
      </c>
      <c r="E6" s="1">
        <v>0.01</v>
      </c>
      <c r="F6" s="1">
        <v>0.01</v>
      </c>
      <c r="G6" s="1">
        <v>0.01</v>
      </c>
      <c r="H6" s="1">
        <v>0.01</v>
      </c>
      <c r="I6" s="1">
        <v>0.0187</v>
      </c>
      <c r="J6" s="1">
        <v>0.05775</v>
      </c>
      <c r="K6" s="1">
        <v>0.0968</v>
      </c>
      <c r="L6" s="1">
        <v>0.1124</v>
      </c>
      <c r="M6" s="1">
        <v>0.128</v>
      </c>
      <c r="N6" s="1">
        <v>0.13615</v>
      </c>
      <c r="O6" s="1">
        <v>0.1443</v>
      </c>
      <c r="P6" s="1">
        <v>0.14925</v>
      </c>
      <c r="Q6" s="1">
        <v>0.1542</v>
      </c>
      <c r="R6" s="1">
        <v>0.15595</v>
      </c>
      <c r="S6" s="1">
        <v>0.1577</v>
      </c>
      <c r="T6" s="1">
        <v>0.16035</v>
      </c>
      <c r="U6" s="1">
        <v>0.163</v>
      </c>
      <c r="V6" s="1"/>
      <c r="W6" s="2" t="str">
        <f>IF('расчет'!R25&lt;50000,50000,'расчет'!R25)</f>
        <v>155303.7932</v>
      </c>
      <c r="X6" s="2" t="str">
        <f t="shared" si="1"/>
        <v>150000</v>
      </c>
      <c r="Y6" s="2" t="str">
        <f t="shared" si="2"/>
        <v>175000</v>
      </c>
      <c r="Z6" s="2" t="str">
        <f t="shared" si="3"/>
        <v>0.7878482728</v>
      </c>
      <c r="AA6" s="2" t="str">
        <f t="shared" si="4"/>
        <v>0.2121517272</v>
      </c>
      <c r="AB6" s="2" t="str">
        <f>'расчет'!P25</f>
        <v>8.972215942</v>
      </c>
      <c r="AC6" s="2" t="str">
        <f t="shared" ref="AC6:AD6" si="14">AC5</f>
        <v>-2</v>
      </c>
      <c r="AD6" s="2" t="str">
        <f t="shared" si="14"/>
        <v>21</v>
      </c>
      <c r="AE6" s="2" t="str">
        <f t="shared" si="6"/>
        <v>8.5</v>
      </c>
      <c r="AF6" s="2" t="str">
        <f t="shared" si="7"/>
        <v>9</v>
      </c>
      <c r="AG6" s="2" t="str">
        <f t="shared" si="8"/>
        <v>0.05556811655</v>
      </c>
      <c r="AH6" s="2" t="str">
        <f t="shared" si="9"/>
        <v>0.9444318834</v>
      </c>
      <c r="AI6" s="2" t="str">
        <f>VLOOKUP(AE6,B4:U50,(X6/25000),FALSE)</f>
        <v>1.0718</v>
      </c>
      <c r="AJ6" s="2" t="str">
        <f>VLOOKUP(AF6,B4:U50,(X6/25000),FALSE)</f>
        <v>1.1007</v>
      </c>
      <c r="AK6" s="2" t="str">
        <f>VLOOKUP(AE6,B4:U50,(Y6/25000),FALSE)</f>
        <v>1.0624</v>
      </c>
      <c r="AL6" s="2" t="str">
        <f>VLOOKUP(AF6,B4:U50,(Y6/25000),FALSE)</f>
        <v>1.1013</v>
      </c>
      <c r="AM6" s="2" t="str">
        <f t="shared" si="10"/>
        <v>1.099094081</v>
      </c>
      <c r="AN6" s="2" t="str">
        <f t="shared" si="11"/>
        <v>1.0991384</v>
      </c>
      <c r="AO6" s="2" t="str">
        <f t="shared" si="12"/>
        <v>1.099103484</v>
      </c>
      <c r="AP6" s="1"/>
      <c r="AQ6" s="1"/>
      <c r="AR6" s="1"/>
      <c r="AS6" s="1"/>
      <c r="AT6" s="1"/>
      <c r="AU6" s="1"/>
      <c r="AV6" s="1"/>
      <c r="AW6" s="1"/>
      <c r="AX6" s="1"/>
      <c r="AY6" s="1"/>
    </row>
    <row r="7" ht="12.75" customHeight="1">
      <c r="A7" s="1"/>
      <c r="B7" s="1">
        <v>-0.5</v>
      </c>
      <c r="C7" s="1">
        <v>0.01</v>
      </c>
      <c r="D7" s="1">
        <v>0.01</v>
      </c>
      <c r="E7" s="1">
        <v>0.01</v>
      </c>
      <c r="F7" s="1">
        <v>0.01</v>
      </c>
      <c r="G7" s="1">
        <v>0.0099</v>
      </c>
      <c r="H7" s="1">
        <v>0.0803</v>
      </c>
      <c r="I7" s="1">
        <v>0.1061</v>
      </c>
      <c r="J7" s="1">
        <v>0.13405</v>
      </c>
      <c r="K7" s="1">
        <v>0.162</v>
      </c>
      <c r="L7" s="1">
        <v>0.17695</v>
      </c>
      <c r="M7" s="1">
        <v>0.1919</v>
      </c>
      <c r="N7" s="1">
        <v>0.19625</v>
      </c>
      <c r="O7" s="1">
        <v>0.2006</v>
      </c>
      <c r="P7" s="1">
        <v>0.20435</v>
      </c>
      <c r="Q7" s="1">
        <v>0.2081</v>
      </c>
      <c r="R7" s="1">
        <v>0.20915</v>
      </c>
      <c r="S7" s="1">
        <v>0.2102</v>
      </c>
      <c r="T7" s="1">
        <v>0.2112</v>
      </c>
      <c r="U7" s="1">
        <v>0.2122</v>
      </c>
      <c r="V7" s="1"/>
      <c r="W7" s="2" t="str">
        <f>IF('расчет'!R26&lt;50000,50000,'расчет'!R26)</f>
        <v>152048.384</v>
      </c>
      <c r="X7" s="2" t="str">
        <f t="shared" si="1"/>
        <v>150000</v>
      </c>
      <c r="Y7" s="2" t="str">
        <f t="shared" si="2"/>
        <v>175000</v>
      </c>
      <c r="Z7" s="2" t="str">
        <f t="shared" si="3"/>
        <v>0.9180646404</v>
      </c>
      <c r="AA7" s="2" t="str">
        <f t="shared" si="4"/>
        <v>0.08193535957</v>
      </c>
      <c r="AB7" s="2" t="str">
        <f>'расчет'!P26</f>
        <v>9.459475009</v>
      </c>
      <c r="AC7" s="2" t="str">
        <f t="shared" ref="AC7:AD7" si="15">AC6</f>
        <v>-2</v>
      </c>
      <c r="AD7" s="2" t="str">
        <f t="shared" si="15"/>
        <v>21</v>
      </c>
      <c r="AE7" s="2" t="str">
        <f t="shared" si="6"/>
        <v>9</v>
      </c>
      <c r="AF7" s="2" t="str">
        <f t="shared" si="7"/>
        <v>9.5</v>
      </c>
      <c r="AG7" s="2" t="str">
        <f t="shared" si="8"/>
        <v>0.08104998293</v>
      </c>
      <c r="AH7" s="2" t="str">
        <f t="shared" si="9"/>
        <v>0.9189500171</v>
      </c>
      <c r="AI7" s="2" t="str">
        <f>VLOOKUP(AE7,B4:U50,(X7/25000),FALSE)</f>
        <v>1.1007</v>
      </c>
      <c r="AJ7" s="2" t="str">
        <f>VLOOKUP(AF7,B4:U50,(X7/25000),FALSE)</f>
        <v>1.136</v>
      </c>
      <c r="AK7" s="2" t="str">
        <f>VLOOKUP(AE7,B4:U50,(Y7/25000),FALSE)</f>
        <v>1.1013</v>
      </c>
      <c r="AL7" s="2" t="str">
        <f>VLOOKUP(AF7,B4:U50,(Y7/25000),FALSE)</f>
        <v>1.1248</v>
      </c>
      <c r="AM7" s="2" t="str">
        <f t="shared" si="10"/>
        <v>1.133138936</v>
      </c>
      <c r="AN7" s="2" t="str">
        <f t="shared" si="11"/>
        <v>1.122895325</v>
      </c>
      <c r="AO7" s="2" t="str">
        <f t="shared" si="12"/>
        <v>1.132299622</v>
      </c>
      <c r="AP7" s="1"/>
      <c r="AQ7" s="1"/>
      <c r="AR7" s="1"/>
      <c r="AS7" s="1"/>
      <c r="AT7" s="1"/>
      <c r="AU7" s="1"/>
      <c r="AV7" s="1"/>
      <c r="AW7" s="1"/>
      <c r="AX7" s="1"/>
      <c r="AY7" s="1"/>
    </row>
    <row r="8" ht="12.75" customHeight="1">
      <c r="A8" s="1"/>
      <c r="B8" s="1">
        <v>0.0</v>
      </c>
      <c r="C8" s="1">
        <v>0.01</v>
      </c>
      <c r="D8" s="1">
        <v>0.01</v>
      </c>
      <c r="E8" s="1">
        <v>0.01</v>
      </c>
      <c r="F8" s="1">
        <v>0.024</v>
      </c>
      <c r="G8" s="1">
        <v>0.0864</v>
      </c>
      <c r="H8" s="1">
        <v>0.1463</v>
      </c>
      <c r="I8" s="1">
        <v>0.1923</v>
      </c>
      <c r="J8" s="1">
        <v>0.2086</v>
      </c>
      <c r="K8" s="1">
        <v>0.2249</v>
      </c>
      <c r="L8" s="1">
        <v>0.2364</v>
      </c>
      <c r="M8" s="1">
        <v>0.2479</v>
      </c>
      <c r="N8" s="1">
        <v>0.25115</v>
      </c>
      <c r="O8" s="1">
        <v>0.2544</v>
      </c>
      <c r="P8" s="1">
        <v>0.25675</v>
      </c>
      <c r="Q8" s="1">
        <v>0.2591</v>
      </c>
      <c r="R8" s="1">
        <v>0.26035</v>
      </c>
      <c r="S8" s="1">
        <v>0.2616</v>
      </c>
      <c r="T8" s="1">
        <v>0.2609</v>
      </c>
      <c r="U8" s="1">
        <v>0.2602</v>
      </c>
      <c r="V8" s="1"/>
      <c r="W8" s="2" t="str">
        <f>IF('расчет'!R27&lt;50000,50000,'расчет'!R27)</f>
        <v>148436.2342</v>
      </c>
      <c r="X8" s="2" t="str">
        <f t="shared" si="1"/>
        <v>125000</v>
      </c>
      <c r="Y8" s="2" t="str">
        <f t="shared" si="2"/>
        <v>150000</v>
      </c>
      <c r="Z8" s="2" t="str">
        <f t="shared" si="3"/>
        <v>0.06255063385</v>
      </c>
      <c r="AA8" s="2" t="str">
        <f t="shared" si="4"/>
        <v>0.9374493661</v>
      </c>
      <c r="AB8" s="2" t="str">
        <f>'расчет'!P27</f>
        <v>9.880167544</v>
      </c>
      <c r="AC8" s="2" t="str">
        <f t="shared" ref="AC8:AD8" si="16">AC7</f>
        <v>-2</v>
      </c>
      <c r="AD8" s="2" t="str">
        <f t="shared" si="16"/>
        <v>21</v>
      </c>
      <c r="AE8" s="2" t="str">
        <f t="shared" si="6"/>
        <v>9.5</v>
      </c>
      <c r="AF8" s="2" t="str">
        <f t="shared" si="7"/>
        <v>10</v>
      </c>
      <c r="AG8" s="2" t="str">
        <f t="shared" si="8"/>
        <v>0.2396649114</v>
      </c>
      <c r="AH8" s="2" t="str">
        <f t="shared" si="9"/>
        <v>0.7603350886</v>
      </c>
      <c r="AI8" s="2" t="str">
        <f>VLOOKUP(AE8,B4:U50,(X8/25000),FALSE)</f>
        <v>1.1334</v>
      </c>
      <c r="AJ8" s="2" t="str">
        <f>VLOOKUP(AF8,B4:U50,(X8/25000),FALSE)</f>
        <v>1.1622</v>
      </c>
      <c r="AK8" s="2" t="str">
        <f>VLOOKUP(AE8,B4:U50,(Y8/25000),FALSE)</f>
        <v>1.136</v>
      </c>
      <c r="AL8" s="2" t="str">
        <f>VLOOKUP(AF8,B4:U50,(Y8/25000),FALSE)</f>
        <v>1.1579</v>
      </c>
      <c r="AM8" s="2" t="str">
        <f t="shared" si="10"/>
        <v>1.155297651</v>
      </c>
      <c r="AN8" s="2" t="str">
        <f t="shared" si="11"/>
        <v>1.152651338</v>
      </c>
      <c r="AO8" s="2" t="str">
        <f t="shared" si="12"/>
        <v>1.152816867</v>
      </c>
      <c r="AP8" s="1"/>
      <c r="AQ8" s="1"/>
      <c r="AR8" s="1"/>
      <c r="AS8" s="1"/>
      <c r="AT8" s="1"/>
      <c r="AU8" s="1"/>
      <c r="AV8" s="1"/>
      <c r="AW8" s="1"/>
      <c r="AX8" s="1"/>
      <c r="AY8" s="1"/>
    </row>
    <row r="9" ht="12.75" customHeight="1">
      <c r="A9" s="1"/>
      <c r="B9" s="1">
        <v>0.5</v>
      </c>
      <c r="C9" s="1">
        <v>0.01</v>
      </c>
      <c r="D9" s="1">
        <v>0.01</v>
      </c>
      <c r="E9" s="1">
        <v>0.0333</v>
      </c>
      <c r="F9" s="1">
        <v>0.1174</v>
      </c>
      <c r="G9" s="1">
        <v>0.1967</v>
      </c>
      <c r="H9" s="1">
        <v>0.2201</v>
      </c>
      <c r="I9" s="1">
        <v>0.2555</v>
      </c>
      <c r="J9" s="1">
        <v>0.26955</v>
      </c>
      <c r="K9" s="1">
        <v>0.2836</v>
      </c>
      <c r="L9" s="1">
        <v>0.29125</v>
      </c>
      <c r="M9" s="1">
        <v>0.2989</v>
      </c>
      <c r="N9" s="1">
        <v>0.30195</v>
      </c>
      <c r="O9" s="1">
        <v>0.305</v>
      </c>
      <c r="P9" s="1">
        <v>0.30605</v>
      </c>
      <c r="Q9" s="1">
        <v>0.3071</v>
      </c>
      <c r="R9" s="1">
        <v>0.3074</v>
      </c>
      <c r="S9" s="1">
        <v>0.3077</v>
      </c>
      <c r="T9" s="1">
        <v>0.3065</v>
      </c>
      <c r="U9" s="1">
        <v>0.3053</v>
      </c>
      <c r="V9" s="1"/>
      <c r="W9" s="2" t="str">
        <f>IF('расчет'!R28&lt;50000,50000,'расчет'!R28)</f>
        <v>144372.9701</v>
      </c>
      <c r="X9" s="2" t="str">
        <f t="shared" si="1"/>
        <v>125000</v>
      </c>
      <c r="Y9" s="2" t="str">
        <f t="shared" si="2"/>
        <v>150000</v>
      </c>
      <c r="Z9" s="2" t="str">
        <f t="shared" si="3"/>
        <v>0.2250811965</v>
      </c>
      <c r="AA9" s="2" t="str">
        <f t="shared" si="4"/>
        <v>0.7749188035</v>
      </c>
      <c r="AB9" s="2" t="str">
        <f>'расчет'!P28</f>
        <v>10.2479629</v>
      </c>
      <c r="AC9" s="2" t="str">
        <f t="shared" ref="AC9:AD9" si="17">AC8</f>
        <v>-2</v>
      </c>
      <c r="AD9" s="2" t="str">
        <f t="shared" si="17"/>
        <v>21</v>
      </c>
      <c r="AE9" s="2" t="str">
        <f t="shared" si="6"/>
        <v>10</v>
      </c>
      <c r="AF9" s="2" t="str">
        <f t="shared" si="7"/>
        <v>10.5</v>
      </c>
      <c r="AG9" s="2" t="str">
        <f t="shared" si="8"/>
        <v>0.5040741949</v>
      </c>
      <c r="AH9" s="2" t="str">
        <f t="shared" si="9"/>
        <v>0.4959258051</v>
      </c>
      <c r="AI9" s="2" t="str">
        <f>VLOOKUP(AE9,B4:U50,(X9/25000),FALSE)</f>
        <v>1.1622</v>
      </c>
      <c r="AJ9" s="2" t="str">
        <f>VLOOKUP(AF9,B4:U50,(X9/25000),FALSE)</f>
        <v>1.1822</v>
      </c>
      <c r="AK9" s="2" t="str">
        <f>VLOOKUP(AE9,B4:U50,(Y9/25000),FALSE)</f>
        <v>1.1579</v>
      </c>
      <c r="AL9" s="2" t="str">
        <f>VLOOKUP(AF9,B4:U50,(Y9/25000),FALSE)</f>
        <v>1.1917</v>
      </c>
      <c r="AM9" s="2" t="str">
        <f t="shared" si="10"/>
        <v>1.172118516</v>
      </c>
      <c r="AN9" s="2" t="str">
        <f t="shared" si="11"/>
        <v>1.174662292</v>
      </c>
      <c r="AO9" s="2" t="str">
        <f t="shared" si="12"/>
        <v>1.174089736</v>
      </c>
      <c r="AP9" s="1"/>
      <c r="AQ9" s="1"/>
      <c r="AR9" s="1"/>
      <c r="AS9" s="1"/>
      <c r="AT9" s="1"/>
      <c r="AU9" s="1"/>
      <c r="AV9" s="1"/>
      <c r="AW9" s="1"/>
      <c r="AX9" s="1"/>
      <c r="AY9" s="1"/>
    </row>
    <row r="10" ht="12.75" customHeight="1">
      <c r="A10" s="1"/>
      <c r="B10" s="1">
        <v>1.0</v>
      </c>
      <c r="C10" s="1">
        <v>0.01</v>
      </c>
      <c r="D10" s="1">
        <v>0.0141</v>
      </c>
      <c r="E10" s="1">
        <v>0.1305</v>
      </c>
      <c r="F10" s="1">
        <v>0.1865</v>
      </c>
      <c r="G10" s="1">
        <v>0.2639</v>
      </c>
      <c r="H10" s="1">
        <v>0.2936</v>
      </c>
      <c r="I10" s="1">
        <v>0.3195</v>
      </c>
      <c r="J10" s="1">
        <v>0.3313</v>
      </c>
      <c r="K10" s="1">
        <v>0.3431</v>
      </c>
      <c r="L10" s="1">
        <v>0.34645</v>
      </c>
      <c r="M10" s="1">
        <v>0.3498</v>
      </c>
      <c r="N10" s="1">
        <v>0.3507</v>
      </c>
      <c r="O10" s="1">
        <v>0.3516</v>
      </c>
      <c r="P10" s="1">
        <v>0.3505</v>
      </c>
      <c r="Q10" s="1">
        <v>0.3494</v>
      </c>
      <c r="R10" s="1">
        <v>0.3474</v>
      </c>
      <c r="S10" s="1">
        <v>0.3454</v>
      </c>
      <c r="T10" s="1">
        <v>0.34315</v>
      </c>
      <c r="U10" s="1">
        <v>0.3409</v>
      </c>
      <c r="V10" s="1"/>
      <c r="W10" s="2" t="str">
        <f>IF('расчет'!R29&lt;50000,50000,'расчет'!R29)</f>
        <v>139766.3665</v>
      </c>
      <c r="X10" s="2" t="str">
        <f t="shared" si="1"/>
        <v>125000</v>
      </c>
      <c r="Y10" s="2" t="str">
        <f t="shared" si="2"/>
        <v>150000</v>
      </c>
      <c r="Z10" s="2" t="str">
        <f t="shared" si="3"/>
        <v>0.4093453385</v>
      </c>
      <c r="AA10" s="2" t="str">
        <f t="shared" si="4"/>
        <v>0.5906546615</v>
      </c>
      <c r="AB10" s="2" t="str">
        <f>'расчет'!P29</f>
        <v>10.5809717</v>
      </c>
      <c r="AC10" s="2" t="str">
        <f t="shared" ref="AC10:AD10" si="18">AC9</f>
        <v>-2</v>
      </c>
      <c r="AD10" s="2" t="str">
        <f t="shared" si="18"/>
        <v>21</v>
      </c>
      <c r="AE10" s="2" t="str">
        <f t="shared" si="6"/>
        <v>10.5</v>
      </c>
      <c r="AF10" s="2" t="str">
        <f t="shared" si="7"/>
        <v>11</v>
      </c>
      <c r="AG10" s="2" t="str">
        <f t="shared" si="8"/>
        <v>0.8380565967</v>
      </c>
      <c r="AH10" s="2" t="str">
        <f t="shared" si="9"/>
        <v>0.1619434033</v>
      </c>
      <c r="AI10" s="2" t="str">
        <f>VLOOKUP(AE10,B4:U50,(X10/25000),FALSE)</f>
        <v>1.1822</v>
      </c>
      <c r="AJ10" s="2" t="str">
        <f>VLOOKUP(AF10,B4:U50,(X10/25000),FALSE)</f>
        <v>1.2098</v>
      </c>
      <c r="AK10" s="2" t="str">
        <f>VLOOKUP(AE10,B4:U50,(Y10/25000),FALSE)</f>
        <v>1.1917</v>
      </c>
      <c r="AL10" s="2" t="str">
        <f>VLOOKUP(AF10,B4:U50,(Y10/25000),FALSE)</f>
        <v>1.2033</v>
      </c>
      <c r="AM10" s="2" t="str">
        <f t="shared" si="10"/>
        <v>1.186669638</v>
      </c>
      <c r="AN10" s="2" t="str">
        <f t="shared" si="11"/>
        <v>1.193578543</v>
      </c>
      <c r="AO10" s="2" t="str">
        <f t="shared" si="12"/>
        <v>1.190750415</v>
      </c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ht="12.75" customHeight="1">
      <c r="A11" s="1"/>
      <c r="B11" s="1">
        <v>1.5</v>
      </c>
      <c r="C11" s="1">
        <v>0.01</v>
      </c>
      <c r="D11" s="1">
        <v>0.1118</v>
      </c>
      <c r="E11" s="1">
        <v>0.2066</v>
      </c>
      <c r="F11" s="1">
        <v>0.2701</v>
      </c>
      <c r="G11" s="1">
        <v>0.3366</v>
      </c>
      <c r="H11" s="1">
        <v>0.3555</v>
      </c>
      <c r="I11" s="1">
        <v>0.3737</v>
      </c>
      <c r="J11" s="1">
        <v>0.38255</v>
      </c>
      <c r="K11" s="1">
        <v>0.3914</v>
      </c>
      <c r="L11" s="1">
        <v>0.3917</v>
      </c>
      <c r="M11" s="1">
        <v>0.392</v>
      </c>
      <c r="N11" s="1">
        <v>0.38985</v>
      </c>
      <c r="O11" s="1">
        <v>0.3877</v>
      </c>
      <c r="P11" s="1">
        <v>0.38275</v>
      </c>
      <c r="Q11" s="1">
        <v>0.3778</v>
      </c>
      <c r="R11" s="1">
        <v>0.3724</v>
      </c>
      <c r="S11" s="1">
        <v>0.367</v>
      </c>
      <c r="T11" s="1">
        <v>0.36215</v>
      </c>
      <c r="U11" s="1">
        <v>0.3573</v>
      </c>
      <c r="V11" s="1"/>
      <c r="W11" s="2" t="str">
        <f>IF('расчет'!R30&lt;50000,50000,'расчет'!R30)</f>
        <v>134527.6688</v>
      </c>
      <c r="X11" s="2" t="str">
        <f t="shared" si="1"/>
        <v>125000</v>
      </c>
      <c r="Y11" s="2" t="str">
        <f t="shared" si="2"/>
        <v>150000</v>
      </c>
      <c r="Z11" s="2" t="str">
        <f t="shared" si="3"/>
        <v>0.6188932465</v>
      </c>
      <c r="AA11" s="2" t="str">
        <f t="shared" si="4"/>
        <v>0.3811067535</v>
      </c>
      <c r="AB11" s="2" t="str">
        <f>'расчет'!P30</f>
        <v>10.90349584</v>
      </c>
      <c r="AC11" s="2" t="str">
        <f t="shared" ref="AC11:AD11" si="19">AC10</f>
        <v>-2</v>
      </c>
      <c r="AD11" s="2" t="str">
        <f t="shared" si="19"/>
        <v>21</v>
      </c>
      <c r="AE11" s="2" t="str">
        <f t="shared" si="6"/>
        <v>10.5</v>
      </c>
      <c r="AF11" s="2" t="str">
        <f t="shared" si="7"/>
        <v>11</v>
      </c>
      <c r="AG11" s="2" t="str">
        <f t="shared" si="8"/>
        <v>0.1930083163</v>
      </c>
      <c r="AH11" s="2" t="str">
        <f t="shared" si="9"/>
        <v>0.8069916837</v>
      </c>
      <c r="AI11" s="2" t="str">
        <f>VLOOKUP(AE11,B4:U50,(X11/25000),FALSE)</f>
        <v>1.1822</v>
      </c>
      <c r="AJ11" s="2" t="str">
        <f>VLOOKUP(AF11,B4:U50,(X11/25000),FALSE)</f>
        <v>1.2098</v>
      </c>
      <c r="AK11" s="2" t="str">
        <f>VLOOKUP(AE11,B4:U50,(Y11/25000),FALSE)</f>
        <v>1.1917</v>
      </c>
      <c r="AL11" s="2" t="str">
        <f>VLOOKUP(AF11,B4:U50,(Y11/25000),FALSE)</f>
        <v>1.2033</v>
      </c>
      <c r="AM11" s="2" t="str">
        <f t="shared" si="10"/>
        <v>1.20447297</v>
      </c>
      <c r="AN11" s="2" t="str">
        <f t="shared" si="11"/>
        <v>1.201061104</v>
      </c>
      <c r="AO11" s="2" t="str">
        <f t="shared" si="12"/>
        <v>1.203172685</v>
      </c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ht="12.75" customHeight="1">
      <c r="A12" s="1"/>
      <c r="B12" s="1">
        <v>2.0</v>
      </c>
      <c r="C12" s="1">
        <v>0.12425</v>
      </c>
      <c r="D12" s="1">
        <v>0.207825</v>
      </c>
      <c r="E12" s="1">
        <v>0.2914</v>
      </c>
      <c r="F12" s="1">
        <v>0.33955</v>
      </c>
      <c r="G12" s="1">
        <v>0.3877</v>
      </c>
      <c r="H12" s="1">
        <v>0.4133</v>
      </c>
      <c r="I12" s="1">
        <v>0.425</v>
      </c>
      <c r="J12" s="1">
        <v>0.42595</v>
      </c>
      <c r="K12" s="1">
        <v>0.4269</v>
      </c>
      <c r="L12" s="1">
        <v>0.4197</v>
      </c>
      <c r="M12" s="1">
        <v>0.4125</v>
      </c>
      <c r="N12" s="1">
        <v>0.4041</v>
      </c>
      <c r="O12" s="1">
        <v>0.3957</v>
      </c>
      <c r="P12" s="1">
        <v>0.3904</v>
      </c>
      <c r="Q12" s="1">
        <v>0.3851</v>
      </c>
      <c r="R12" s="1">
        <v>0.38215</v>
      </c>
      <c r="S12" s="1">
        <v>0.3792</v>
      </c>
      <c r="T12" s="1">
        <v>0.37805</v>
      </c>
      <c r="U12" s="1">
        <v>0.3769</v>
      </c>
      <c r="V12" s="1"/>
      <c r="W12" s="2" t="str">
        <f>IF('расчет'!R31&lt;50000,50000,'расчет'!R31)</f>
        <v>128573.0727</v>
      </c>
      <c r="X12" s="2" t="str">
        <f t="shared" si="1"/>
        <v>125000</v>
      </c>
      <c r="Y12" s="2" t="str">
        <f t="shared" si="2"/>
        <v>150000</v>
      </c>
      <c r="Z12" s="2" t="str">
        <f t="shared" si="3"/>
        <v>0.8570770934</v>
      </c>
      <c r="AA12" s="2" t="str">
        <f t="shared" si="4"/>
        <v>0.1429229066</v>
      </c>
      <c r="AB12" s="2" t="str">
        <f>'расчет'!P31</f>
        <v>11.24863784</v>
      </c>
      <c r="AC12" s="2" t="str">
        <f t="shared" ref="AC12:AD12" si="20">AC11</f>
        <v>-2</v>
      </c>
      <c r="AD12" s="2" t="str">
        <f t="shared" si="20"/>
        <v>21</v>
      </c>
      <c r="AE12" s="2" t="str">
        <f t="shared" si="6"/>
        <v>11</v>
      </c>
      <c r="AF12" s="2" t="str">
        <f t="shared" si="7"/>
        <v>11.5</v>
      </c>
      <c r="AG12" s="2" t="str">
        <f t="shared" si="8"/>
        <v>0.5027243149</v>
      </c>
      <c r="AH12" s="2" t="str">
        <f t="shared" si="9"/>
        <v>0.4972756851</v>
      </c>
      <c r="AI12" s="2" t="str">
        <f>VLOOKUP(AE12,B4:U50,(X12/25000),FALSE)</f>
        <v>1.2098</v>
      </c>
      <c r="AJ12" s="2" t="str">
        <f>VLOOKUP(AF12,B4:U50,(X12/25000),FALSE)</f>
        <v>1.217</v>
      </c>
      <c r="AK12" s="2" t="str">
        <f>VLOOKUP(AE12,B4:U50,(Y12/25000),FALSE)</f>
        <v>1.2033</v>
      </c>
      <c r="AL12" s="2" t="str">
        <f>VLOOKUP(AF12,B4:U50,(Y12/25000),FALSE)</f>
        <v>1.2273</v>
      </c>
      <c r="AM12" s="2" t="str">
        <f t="shared" si="10"/>
        <v>1.213380385</v>
      </c>
      <c r="AN12" s="2" t="str">
        <f t="shared" si="11"/>
        <v>1.215234616</v>
      </c>
      <c r="AO12" s="2" t="str">
        <f t="shared" si="12"/>
        <v>1.213645397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ht="12.75" customHeight="1">
      <c r="A13" s="1"/>
      <c r="B13" s="1">
        <v>2.5</v>
      </c>
      <c r="C13" s="1">
        <v>0.3155</v>
      </c>
      <c r="D13" s="1">
        <v>0.5505</v>
      </c>
      <c r="E13" s="1">
        <v>0.6373</v>
      </c>
      <c r="F13" s="1">
        <v>0.500575</v>
      </c>
      <c r="G13" s="1">
        <v>0.484275</v>
      </c>
      <c r="H13" s="1">
        <v>0.4552</v>
      </c>
      <c r="I13" s="1">
        <v>0.4493</v>
      </c>
      <c r="J13" s="1">
        <v>0.4386</v>
      </c>
      <c r="K13" s="1">
        <v>0.4279</v>
      </c>
      <c r="L13" s="1">
        <v>0.4280425</v>
      </c>
      <c r="M13" s="1">
        <v>0.428185</v>
      </c>
      <c r="N13" s="1">
        <v>0.4214925</v>
      </c>
      <c r="O13" s="1">
        <v>0.4148</v>
      </c>
      <c r="P13" s="1">
        <v>0.41475</v>
      </c>
      <c r="Q13" s="1">
        <v>0.4147</v>
      </c>
      <c r="R13" s="1">
        <v>0.4154</v>
      </c>
      <c r="S13" s="1">
        <v>0.4161</v>
      </c>
      <c r="T13" s="1">
        <v>0.41605</v>
      </c>
      <c r="U13" s="1">
        <v>0.416</v>
      </c>
      <c r="V13" s="1"/>
      <c r="W13" s="2" t="str">
        <f>IF('расчет'!R32&lt;50000,50000,'расчет'!R32)</f>
        <v>121825.3118</v>
      </c>
      <c r="X13" s="2" t="str">
        <f t="shared" si="1"/>
        <v>100000</v>
      </c>
      <c r="Y13" s="2" t="str">
        <f t="shared" si="2"/>
        <v>125000</v>
      </c>
      <c r="Z13" s="2" t="str">
        <f t="shared" si="3"/>
        <v>0.1269875283</v>
      </c>
      <c r="AA13" s="2" t="str">
        <f t="shared" si="4"/>
        <v>0.8730124717</v>
      </c>
      <c r="AB13" s="2" t="str">
        <f>'расчет'!P32</f>
        <v>11.66229685</v>
      </c>
      <c r="AC13" s="2" t="str">
        <f t="shared" ref="AC13:AD13" si="21">AC12</f>
        <v>-2</v>
      </c>
      <c r="AD13" s="2" t="str">
        <f t="shared" si="21"/>
        <v>21</v>
      </c>
      <c r="AE13" s="2" t="str">
        <f t="shared" si="6"/>
        <v>11.5</v>
      </c>
      <c r="AF13" s="2" t="str">
        <f t="shared" si="7"/>
        <v>12</v>
      </c>
      <c r="AG13" s="2" t="str">
        <f t="shared" si="8"/>
        <v>0.6754062992</v>
      </c>
      <c r="AH13" s="2" t="str">
        <f t="shared" si="9"/>
        <v>0.3245937008</v>
      </c>
      <c r="AI13" s="2" t="str">
        <f>VLOOKUP(AE13,B4:U50,(X13/25000),FALSE)</f>
        <v>1.2095</v>
      </c>
      <c r="AJ13" s="2" t="str">
        <f>VLOOKUP(AF13,B4:U50,(X13/25000),FALSE)</f>
        <v>1.169</v>
      </c>
      <c r="AK13" s="2" t="str">
        <f>VLOOKUP(AE13,B4:U50,(Y13/25000),FALSE)</f>
        <v>1.217</v>
      </c>
      <c r="AL13" s="2" t="str">
        <f>VLOOKUP(AF13,B4:U50,(Y13/25000),FALSE)</f>
        <v>1.2469</v>
      </c>
      <c r="AM13" s="2" t="str">
        <f t="shared" si="10"/>
        <v>1.196353955</v>
      </c>
      <c r="AN13" s="2" t="str">
        <f t="shared" si="11"/>
        <v>1.226705352</v>
      </c>
      <c r="AO13" s="2" t="str">
        <f t="shared" si="12"/>
        <v>1.222851103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ht="12.75" customHeight="1">
      <c r="A14" s="1"/>
      <c r="B14" s="1">
        <v>3.0</v>
      </c>
      <c r="C14" s="1">
        <v>0.478</v>
      </c>
      <c r="D14" s="1">
        <v>0.6361</v>
      </c>
      <c r="E14" s="1">
        <v>0.6541</v>
      </c>
      <c r="F14" s="1">
        <v>0.6616</v>
      </c>
      <c r="G14" s="1">
        <v>0.58085</v>
      </c>
      <c r="H14" s="1">
        <v>0.5001</v>
      </c>
      <c r="I14" s="1">
        <v>0.47535</v>
      </c>
      <c r="J14" s="1">
        <v>0.462975</v>
      </c>
      <c r="K14" s="1">
        <v>0.4506</v>
      </c>
      <c r="L14" s="1">
        <v>0.45075</v>
      </c>
      <c r="M14" s="1">
        <v>0.4509</v>
      </c>
      <c r="N14" s="1">
        <v>0.4519</v>
      </c>
      <c r="O14" s="1">
        <v>0.4529</v>
      </c>
      <c r="P14" s="1">
        <v>0.45315</v>
      </c>
      <c r="Q14" s="1">
        <v>0.4534</v>
      </c>
      <c r="R14" s="1">
        <v>0.4547</v>
      </c>
      <c r="S14" s="1">
        <v>0.456</v>
      </c>
      <c r="T14" s="1">
        <v>0.45745</v>
      </c>
      <c r="U14" s="1">
        <v>0.4589</v>
      </c>
      <c r="V14" s="1"/>
      <c r="W14" s="2" t="str">
        <f>IF('расчет'!R33&lt;50000,50000,'расчет'!R33)</f>
        <v>114215.2829</v>
      </c>
      <c r="X14" s="2" t="str">
        <f t="shared" si="1"/>
        <v>100000</v>
      </c>
      <c r="Y14" s="2" t="str">
        <f t="shared" si="2"/>
        <v>125000</v>
      </c>
      <c r="Z14" s="2" t="str">
        <f t="shared" si="3"/>
        <v>0.4313886844</v>
      </c>
      <c r="AA14" s="2" t="str">
        <f t="shared" si="4"/>
        <v>0.5686113156</v>
      </c>
      <c r="AB14" s="2" t="str">
        <f>'расчет'!P33</f>
        <v>12.20946957</v>
      </c>
      <c r="AC14" s="2" t="str">
        <f t="shared" ref="AC14:AD14" si="22">AC13</f>
        <v>-2</v>
      </c>
      <c r="AD14" s="2" t="str">
        <f t="shared" si="22"/>
        <v>21</v>
      </c>
      <c r="AE14" s="2" t="str">
        <f t="shared" si="6"/>
        <v>12</v>
      </c>
      <c r="AF14" s="2" t="str">
        <f t="shared" si="7"/>
        <v>12.5</v>
      </c>
      <c r="AG14" s="2" t="str">
        <f t="shared" si="8"/>
        <v>0.5810608514</v>
      </c>
      <c r="AH14" s="2" t="str">
        <f t="shared" si="9"/>
        <v>0.4189391486</v>
      </c>
      <c r="AI14" s="2" t="str">
        <f>VLOOKUP(AE14,B4:U50,(X14/25000),FALSE)</f>
        <v>1.169</v>
      </c>
      <c r="AJ14" s="2" t="str">
        <f>VLOOKUP(AF14,B4:U50,(X14/25000),FALSE)</f>
        <v>1.1417</v>
      </c>
      <c r="AK14" s="2" t="str">
        <f>VLOOKUP(AE14,B4:U50,(Y14/25000),FALSE)</f>
        <v>1.2469</v>
      </c>
      <c r="AL14" s="2" t="str">
        <f>VLOOKUP(AF14,B4:U50,(Y14/25000),FALSE)</f>
        <v>1.2307</v>
      </c>
      <c r="AM14" s="2" t="str">
        <f t="shared" si="10"/>
        <v>1.157562961</v>
      </c>
      <c r="AN14" s="2" t="str">
        <f t="shared" si="11"/>
        <v>1.240113186</v>
      </c>
      <c r="AO14" s="2" t="str">
        <f t="shared" si="12"/>
        <v>1.204501953</v>
      </c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ht="12.75" customHeight="1">
      <c r="A15" s="1"/>
      <c r="B15" s="1">
        <v>3.5</v>
      </c>
      <c r="C15" s="1">
        <v>0.6493</v>
      </c>
      <c r="D15" s="1">
        <v>0.673</v>
      </c>
      <c r="E15" s="1">
        <v>0.6866</v>
      </c>
      <c r="F15" s="1">
        <v>0.6921</v>
      </c>
      <c r="G15" s="1">
        <v>0.6967</v>
      </c>
      <c r="H15" s="1">
        <v>0.65</v>
      </c>
      <c r="I15" s="1">
        <v>0.5866</v>
      </c>
      <c r="J15" s="1">
        <v>0.546152</v>
      </c>
      <c r="K15" s="1">
        <v>0.505704</v>
      </c>
      <c r="L15" s="1">
        <v>0.497402</v>
      </c>
      <c r="M15" s="1">
        <v>0.4891</v>
      </c>
      <c r="N15" s="1">
        <v>0.4893</v>
      </c>
      <c r="O15" s="1">
        <v>0.4895</v>
      </c>
      <c r="P15" s="1">
        <v>0.49215</v>
      </c>
      <c r="Q15" s="1">
        <v>0.4948</v>
      </c>
      <c r="R15" s="1">
        <v>0.49585</v>
      </c>
      <c r="S15" s="1">
        <v>0.4969</v>
      </c>
      <c r="T15" s="1">
        <v>0.49745</v>
      </c>
      <c r="U15" s="1">
        <v>0.498</v>
      </c>
      <c r="V15" s="1"/>
      <c r="W15" s="2" t="str">
        <f>IF('расчет'!R34&lt;50000,50000,'расчет'!R34)</f>
        <v>105683.6102</v>
      </c>
      <c r="X15" s="2" t="str">
        <f t="shared" si="1"/>
        <v>100000</v>
      </c>
      <c r="Y15" s="2" t="str">
        <f t="shared" si="2"/>
        <v>125000</v>
      </c>
      <c r="Z15" s="2" t="str">
        <f t="shared" si="3"/>
        <v>0.7726555915</v>
      </c>
      <c r="AA15" s="2" t="str">
        <f t="shared" si="4"/>
        <v>0.2273444085</v>
      </c>
      <c r="AB15" s="2" t="str">
        <f>'расчет'!P34</f>
        <v>12.98450331</v>
      </c>
      <c r="AC15" s="2" t="str">
        <f t="shared" ref="AC15:AD15" si="23">AC14</f>
        <v>-2</v>
      </c>
      <c r="AD15" s="2" t="str">
        <f t="shared" si="23"/>
        <v>21</v>
      </c>
      <c r="AE15" s="2" t="str">
        <f t="shared" si="6"/>
        <v>12.5</v>
      </c>
      <c r="AF15" s="2" t="str">
        <f t="shared" si="7"/>
        <v>13</v>
      </c>
      <c r="AG15" s="2" t="str">
        <f t="shared" si="8"/>
        <v>0.03099337527</v>
      </c>
      <c r="AH15" s="2" t="str">
        <f t="shared" si="9"/>
        <v>0.9690066247</v>
      </c>
      <c r="AI15" s="2" t="str">
        <f>VLOOKUP(AE15,B4:U50,(X15/25000),FALSE)</f>
        <v>1.1417</v>
      </c>
      <c r="AJ15" s="2" t="str">
        <f>VLOOKUP(AF15,B4:U50,(X15/25000),FALSE)</f>
        <v>0.9274</v>
      </c>
      <c r="AK15" s="2" t="str">
        <f>VLOOKUP(AE15,B4:U50,(Y15/25000),FALSE)</f>
        <v>1.2307</v>
      </c>
      <c r="AL15" s="2" t="str">
        <f>VLOOKUP(AF15,B4:U50,(Y15/25000),FALSE)</f>
        <v>1.2497</v>
      </c>
      <c r="AM15" s="2" t="str">
        <f t="shared" si="10"/>
        <v>0.9340418803</v>
      </c>
      <c r="AN15" s="2" t="str">
        <f t="shared" si="11"/>
        <v>1.249111126</v>
      </c>
      <c r="AO15" s="2" t="str">
        <f t="shared" si="12"/>
        <v>1.005671112</v>
      </c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ht="12.75" customHeight="1">
      <c r="A16" s="1"/>
      <c r="B16" s="1">
        <v>4.0</v>
      </c>
      <c r="C16" s="1">
        <v>0.7039</v>
      </c>
      <c r="D16" s="1">
        <v>0.7205</v>
      </c>
      <c r="E16" s="1">
        <v>0.7258</v>
      </c>
      <c r="F16" s="1">
        <v>0.7282</v>
      </c>
      <c r="G16" s="1">
        <v>0.7315</v>
      </c>
      <c r="H16" s="1">
        <v>0.7346</v>
      </c>
      <c r="I16" s="1">
        <v>0.7244</v>
      </c>
      <c r="J16" s="1">
        <v>0.67445</v>
      </c>
      <c r="K16" s="1">
        <v>0.6245</v>
      </c>
      <c r="L16" s="1">
        <v>0.56005</v>
      </c>
      <c r="M16" s="1">
        <v>0.4956</v>
      </c>
      <c r="N16" s="1">
        <v>0.5124</v>
      </c>
      <c r="O16" s="1">
        <v>0.5292</v>
      </c>
      <c r="P16" s="1">
        <v>0.5308</v>
      </c>
      <c r="Q16" s="1">
        <v>0.5324</v>
      </c>
      <c r="R16" s="1">
        <v>0.53315</v>
      </c>
      <c r="S16" s="1">
        <v>0.5339</v>
      </c>
      <c r="T16" s="1">
        <v>0.5364</v>
      </c>
      <c r="U16" s="1">
        <v>0.5389</v>
      </c>
      <c r="V16" s="1"/>
      <c r="W16" s="2" t="str">
        <f>IF('расчет'!R35&lt;50000,50000,'расчет'!R35)</f>
        <v>96182.02339</v>
      </c>
      <c r="X16" s="2" t="str">
        <f t="shared" si="1"/>
        <v>75000</v>
      </c>
      <c r="Y16" s="2" t="str">
        <f t="shared" si="2"/>
        <v>100000</v>
      </c>
      <c r="Z16" s="2" t="str">
        <f t="shared" si="3"/>
        <v>0.1527190645</v>
      </c>
      <c r="AA16" s="2" t="str">
        <f t="shared" si="4"/>
        <v>0.8472809355</v>
      </c>
      <c r="AB16" s="2" t="str">
        <f>'расчет'!P35</f>
        <v>14.12833628</v>
      </c>
      <c r="AC16" s="2" t="str">
        <f t="shared" ref="AC16:AD16" si="24">AC15</f>
        <v>-2</v>
      </c>
      <c r="AD16" s="2" t="str">
        <f t="shared" si="24"/>
        <v>21</v>
      </c>
      <c r="AE16" s="2" t="str">
        <f t="shared" si="6"/>
        <v>14</v>
      </c>
      <c r="AF16" s="2" t="str">
        <f t="shared" si="7"/>
        <v>14.5</v>
      </c>
      <c r="AG16" s="2" t="str">
        <f t="shared" si="8"/>
        <v>0.7433274325</v>
      </c>
      <c r="AH16" s="2" t="str">
        <f t="shared" si="9"/>
        <v>0.2566725675</v>
      </c>
      <c r="AI16" s="2" t="str">
        <f>VLOOKUP(AE16,B4:U50,(X16/25000),FALSE)</f>
        <v>0.6661</v>
      </c>
      <c r="AJ16" s="2" t="str">
        <f>VLOOKUP(AF16,B4:U50,(X16/25000),FALSE)</f>
        <v>0.675</v>
      </c>
      <c r="AK16" s="2" t="str">
        <f>VLOOKUP(AE16,B4:U50,(Y16/25000),FALSE)</f>
        <v>0.9145</v>
      </c>
      <c r="AL16" s="2" t="str">
        <f>VLOOKUP(AF16,B4:U50,(Y16/25000),FALSE)</f>
        <v>0.53515</v>
      </c>
      <c r="AM16" s="2" t="str">
        <f t="shared" si="10"/>
        <v>0.6683843859</v>
      </c>
      <c r="AN16" s="2" t="str">
        <f t="shared" si="11"/>
        <v>0.8171312615</v>
      </c>
      <c r="AO16" s="2" t="str">
        <f t="shared" si="12"/>
        <v>0.7944147778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ht="12.75" customHeight="1">
      <c r="A17" s="1"/>
      <c r="B17" s="1">
        <v>4.5</v>
      </c>
      <c r="C17" s="1">
        <v>0.761</v>
      </c>
      <c r="D17" s="1">
        <v>0.767</v>
      </c>
      <c r="E17" s="1">
        <v>0.76825</v>
      </c>
      <c r="F17" s="1">
        <v>0.7695</v>
      </c>
      <c r="G17" s="1">
        <v>0.7674</v>
      </c>
      <c r="H17" s="1">
        <v>0.7699</v>
      </c>
      <c r="I17" s="1">
        <v>0.7721</v>
      </c>
      <c r="J17" s="1">
        <v>0.76085</v>
      </c>
      <c r="K17" s="1">
        <v>0.7496</v>
      </c>
      <c r="L17" s="1">
        <v>0.72115</v>
      </c>
      <c r="M17" s="1">
        <v>0.6927</v>
      </c>
      <c r="N17" s="1">
        <v>0.6733</v>
      </c>
      <c r="O17" s="1">
        <v>0.6539</v>
      </c>
      <c r="P17" s="1">
        <v>0.59445</v>
      </c>
      <c r="Q17" s="1">
        <v>0.535</v>
      </c>
      <c r="R17" s="1">
        <v>0.5513</v>
      </c>
      <c r="S17" s="1">
        <v>0.5676</v>
      </c>
      <c r="T17" s="1">
        <v>0.57285</v>
      </c>
      <c r="U17" s="1">
        <v>0.5781</v>
      </c>
      <c r="V17" s="1"/>
      <c r="W17" s="2" t="str">
        <f>IF('расчет'!R36&lt;50000,50000,'расчет'!R36)</f>
        <v>85674.39578</v>
      </c>
      <c r="X17" s="2" t="str">
        <f t="shared" si="1"/>
        <v>75000</v>
      </c>
      <c r="Y17" s="2" t="str">
        <f t="shared" si="2"/>
        <v>100000</v>
      </c>
      <c r="Z17" s="2" t="str">
        <f t="shared" si="3"/>
        <v>0.5730241689</v>
      </c>
      <c r="AA17" s="2" t="str">
        <f t="shared" si="4"/>
        <v>0.4269758311</v>
      </c>
      <c r="AB17" s="2" t="str">
        <f>'расчет'!P36</f>
        <v>15.85841006</v>
      </c>
      <c r="AC17" s="2" t="str">
        <f t="shared" ref="AC17:AD17" si="25">AC16</f>
        <v>-2</v>
      </c>
      <c r="AD17" s="2" t="str">
        <f t="shared" si="25"/>
        <v>21</v>
      </c>
      <c r="AE17" s="2" t="str">
        <f t="shared" si="6"/>
        <v>15.5</v>
      </c>
      <c r="AF17" s="2" t="str">
        <f t="shared" si="7"/>
        <v>16</v>
      </c>
      <c r="AG17" s="2" t="str">
        <f t="shared" si="8"/>
        <v>0.2831798876</v>
      </c>
      <c r="AH17" s="2" t="str">
        <f t="shared" si="9"/>
        <v>0.7168201124</v>
      </c>
      <c r="AI17" s="2" t="str">
        <f>VLOOKUP(AE17,B4:U50,(X17/25000),FALSE)</f>
        <v>0.6928</v>
      </c>
      <c r="AJ17" s="2" t="str">
        <f>VLOOKUP(AF17,B4:U50,(X17/25000),FALSE)</f>
        <v>0.7017</v>
      </c>
      <c r="AK17" s="2" t="str">
        <f>VLOOKUP(AE17,B4:U50,(Y17/25000),FALSE)</f>
        <v>0.57245</v>
      </c>
      <c r="AL17" s="2" t="str">
        <f>VLOOKUP(AF17,B4:U50,(Y17/25000),FALSE)</f>
        <v>0.5911</v>
      </c>
      <c r="AM17" s="2" t="str">
        <f t="shared" si="10"/>
        <v>0.699179699</v>
      </c>
      <c r="AN17" s="2" t="str">
        <f t="shared" si="11"/>
        <v>0.5858186951</v>
      </c>
      <c r="AO17" s="2" t="str">
        <f t="shared" si="12"/>
        <v>0.6507772901</v>
      </c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ht="12.75" customHeight="1">
      <c r="A18" s="1"/>
      <c r="B18" s="1">
        <v>5.0</v>
      </c>
      <c r="C18" s="1">
        <v>0.8064</v>
      </c>
      <c r="D18" s="1">
        <v>0.8156</v>
      </c>
      <c r="E18" s="1">
        <v>0.8097</v>
      </c>
      <c r="F18" s="1">
        <v>0.8075</v>
      </c>
      <c r="G18" s="1">
        <v>0.8078</v>
      </c>
      <c r="H18" s="1">
        <v>0.8058</v>
      </c>
      <c r="I18" s="1">
        <v>0.8086</v>
      </c>
      <c r="J18" s="1">
        <v>0.81015</v>
      </c>
      <c r="K18" s="1">
        <v>0.8117</v>
      </c>
      <c r="L18" s="1">
        <v>0.80395</v>
      </c>
      <c r="M18" s="1">
        <v>0.7962</v>
      </c>
      <c r="N18" s="1">
        <v>0.77395</v>
      </c>
      <c r="O18" s="1">
        <v>0.7517</v>
      </c>
      <c r="P18" s="1">
        <v>0.73815</v>
      </c>
      <c r="Q18" s="1">
        <v>0.7246</v>
      </c>
      <c r="R18" s="1">
        <v>0.7111</v>
      </c>
      <c r="S18" s="1">
        <v>0.6976</v>
      </c>
      <c r="T18" s="1">
        <v>0.69235</v>
      </c>
      <c r="U18" s="1">
        <v>0.6871</v>
      </c>
      <c r="V18" s="1"/>
      <c r="W18" s="2" t="str">
        <f>IF('расчет'!R37&lt;50000,50000,'расчет'!R37)</f>
        <v>74137.3012</v>
      </c>
      <c r="X18" s="2" t="str">
        <f t="shared" si="1"/>
        <v>50000</v>
      </c>
      <c r="Y18" s="2" t="str">
        <f t="shared" si="2"/>
        <v>75000</v>
      </c>
      <c r="Z18" s="2" t="str">
        <f t="shared" si="3"/>
        <v>0.03450795217</v>
      </c>
      <c r="AA18" s="2" t="str">
        <f t="shared" si="4"/>
        <v>0.9654920478</v>
      </c>
      <c r="AB18" s="2" t="str">
        <f>'расчет'!P37</f>
        <v>18.5217332</v>
      </c>
      <c r="AC18" s="2" t="str">
        <f t="shared" ref="AC18:AD18" si="26">AC17</f>
        <v>-2</v>
      </c>
      <c r="AD18" s="2" t="str">
        <f t="shared" si="26"/>
        <v>21</v>
      </c>
      <c r="AE18" s="2" t="str">
        <f t="shared" si="6"/>
        <v>18.5</v>
      </c>
      <c r="AF18" s="2" t="str">
        <f t="shared" si="7"/>
        <v>19</v>
      </c>
      <c r="AG18" s="2" t="str">
        <f t="shared" si="8"/>
        <v>0.9565335919</v>
      </c>
      <c r="AH18" s="2" t="str">
        <f t="shared" si="9"/>
        <v>0.0434664081</v>
      </c>
      <c r="AI18" s="2" t="str">
        <f>VLOOKUP(AE18,B4:U50,(X18/25000),FALSE)</f>
        <v>0.72855</v>
      </c>
      <c r="AJ18" s="2" t="str">
        <f>VLOOKUP(AF18,B4:U50,(X18/25000),FALSE)</f>
        <v>0.7408</v>
      </c>
      <c r="AK18" s="2" t="str">
        <f>VLOOKUP(AE18,B4:U50,(Y18/25000),FALSE)</f>
        <v>0.7462</v>
      </c>
      <c r="AL18" s="2" t="str">
        <f>VLOOKUP(AF18,B4:U50,(Y18/25000),FALSE)</f>
        <v>0.7551</v>
      </c>
      <c r="AM18" s="2" t="str">
        <f t="shared" si="10"/>
        <v>0.7290824635</v>
      </c>
      <c r="AN18" s="2" t="str">
        <f t="shared" si="11"/>
        <v>0.746586851</v>
      </c>
      <c r="AO18" s="2" t="str">
        <f t="shared" si="12"/>
        <v>0.7459828105</v>
      </c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ht="12.75" customHeight="1">
      <c r="A19" s="1"/>
      <c r="B19" s="1">
        <v>5.5</v>
      </c>
      <c r="C19" s="1">
        <v>0.8528</v>
      </c>
      <c r="D19" s="1">
        <v>0.856</v>
      </c>
      <c r="E19" s="1">
        <v>0.8556</v>
      </c>
      <c r="F19" s="1">
        <v>0.8533</v>
      </c>
      <c r="G19" s="1">
        <v>0.8452</v>
      </c>
      <c r="H19" s="1">
        <v>0.8463</v>
      </c>
      <c r="I19" s="1">
        <v>0.8431</v>
      </c>
      <c r="J19" s="1">
        <v>0.84525</v>
      </c>
      <c r="K19" s="1">
        <v>0.8474</v>
      </c>
      <c r="L19" s="1">
        <v>0.849</v>
      </c>
      <c r="M19" s="1">
        <v>0.8506</v>
      </c>
      <c r="N19" s="1">
        <v>0.85025</v>
      </c>
      <c r="O19" s="1">
        <v>0.8499</v>
      </c>
      <c r="P19" s="1">
        <v>0.8322</v>
      </c>
      <c r="Q19" s="1">
        <v>0.8145</v>
      </c>
      <c r="R19" s="1">
        <v>0.80225</v>
      </c>
      <c r="S19" s="1">
        <v>0.79</v>
      </c>
      <c r="T19" s="1">
        <v>0.78305</v>
      </c>
      <c r="U19" s="1">
        <v>0.7761</v>
      </c>
      <c r="V19" s="1"/>
      <c r="W19" s="2" t="str">
        <f>IF('расчет'!R38&lt;50000,50000,'расчет'!R38)</f>
        <v>61560.12526</v>
      </c>
      <c r="X19" s="2" t="str">
        <f t="shared" si="1"/>
        <v>50000</v>
      </c>
      <c r="Y19" s="2" t="str">
        <f t="shared" si="2"/>
        <v>75000</v>
      </c>
      <c r="Z19" s="2" t="str">
        <f t="shared" si="3"/>
        <v>0.5375949897</v>
      </c>
      <c r="AA19" s="2" t="str">
        <f t="shared" si="4"/>
        <v>0.4624050103</v>
      </c>
      <c r="AB19" s="2" t="str">
        <f>'расчет'!P38</f>
        <v>22.68814529</v>
      </c>
      <c r="AC19" s="2" t="str">
        <f t="shared" ref="AC19:AD19" si="27">AC18</f>
        <v>-2</v>
      </c>
      <c r="AD19" s="2" t="str">
        <f t="shared" si="27"/>
        <v>21</v>
      </c>
      <c r="AE19" s="2" t="str">
        <f t="shared" si="6"/>
        <v>22.5</v>
      </c>
      <c r="AF19" s="2" t="str">
        <f t="shared" si="7"/>
        <v>23</v>
      </c>
      <c r="AG19" s="2" t="str">
        <f t="shared" si="8"/>
        <v>0.6237094224</v>
      </c>
      <c r="AH19" s="2" t="str">
        <f t="shared" si="9"/>
        <v>0.3762905776</v>
      </c>
      <c r="AI19" s="1" t="str">
        <f>VLOOKUP(AE19,B4:U50,(X19/25000),FALSE)</f>
        <v>#N/A</v>
      </c>
      <c r="AJ19" s="1" t="str">
        <f>VLOOKUP(AF19,B4:U50,(X19/25000),FALSE)</f>
        <v>#N/A</v>
      </c>
      <c r="AK19" s="1" t="str">
        <f>VLOOKUP(AE19,B4:U50,(Y19/25000),FALSE)</f>
        <v>#N/A</v>
      </c>
      <c r="AL19" s="1" t="str">
        <f>VLOOKUP(AF19,B4:U50,(Y19/25000),FALSE)</f>
        <v>#N/A</v>
      </c>
      <c r="AM19" s="2" t="str">
        <f t="shared" si="10"/>
        <v>#N/A</v>
      </c>
      <c r="AN19" s="2" t="str">
        <f t="shared" si="11"/>
        <v>#N/A</v>
      </c>
      <c r="AO19" s="2" t="str">
        <f t="shared" si="12"/>
        <v>#N/A</v>
      </c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ht="12.75" customHeight="1">
      <c r="A20" s="1"/>
      <c r="B20" s="1">
        <v>6.0</v>
      </c>
      <c r="C20" s="1">
        <v>0.8887</v>
      </c>
      <c r="D20" s="1">
        <v>0.8973</v>
      </c>
      <c r="E20" s="1">
        <v>0.8941</v>
      </c>
      <c r="F20" s="1">
        <v>0.8895</v>
      </c>
      <c r="G20" s="1">
        <v>0.8894</v>
      </c>
      <c r="H20" s="1">
        <v>0.8816</v>
      </c>
      <c r="I20" s="1">
        <v>0.8814</v>
      </c>
      <c r="J20" s="1">
        <v>0.88025</v>
      </c>
      <c r="K20" s="1">
        <v>0.8791</v>
      </c>
      <c r="L20" s="1">
        <v>0.8797</v>
      </c>
      <c r="M20" s="1">
        <v>0.8803</v>
      </c>
      <c r="N20" s="1">
        <v>0.8839</v>
      </c>
      <c r="O20" s="1">
        <v>0.8875</v>
      </c>
      <c r="P20" s="1">
        <v>0.8908</v>
      </c>
      <c r="Q20" s="1">
        <v>0.8941</v>
      </c>
      <c r="R20" s="1">
        <v>0.89745</v>
      </c>
      <c r="S20" s="1">
        <v>0.9008</v>
      </c>
      <c r="T20" s="1">
        <v>0.8804</v>
      </c>
      <c r="U20" s="1">
        <v>0.86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ht="12.75" customHeight="1">
      <c r="A21" s="1"/>
      <c r="B21" s="1">
        <v>6.5</v>
      </c>
      <c r="C21" s="1">
        <v>0.9167</v>
      </c>
      <c r="D21" s="1">
        <v>0.9407</v>
      </c>
      <c r="E21" s="1">
        <v>0.9368</v>
      </c>
      <c r="F21" s="1">
        <v>0.9359</v>
      </c>
      <c r="G21" s="1">
        <v>0.924</v>
      </c>
      <c r="H21" s="1">
        <v>0.9243</v>
      </c>
      <c r="I21" s="1">
        <v>0.9187</v>
      </c>
      <c r="J21" s="1">
        <v>0.91475</v>
      </c>
      <c r="K21" s="1">
        <v>0.9108</v>
      </c>
      <c r="L21" s="1">
        <v>0.9129</v>
      </c>
      <c r="M21" s="1">
        <v>0.915</v>
      </c>
      <c r="N21" s="1">
        <v>0.9152</v>
      </c>
      <c r="O21" s="1">
        <v>0.9154</v>
      </c>
      <c r="P21" s="1">
        <v>0.91805</v>
      </c>
      <c r="Q21" s="1">
        <v>0.9207</v>
      </c>
      <c r="R21" s="1">
        <v>0.92415</v>
      </c>
      <c r="S21" s="1">
        <v>0.9276</v>
      </c>
      <c r="T21" s="1">
        <v>0.93065</v>
      </c>
      <c r="U21" s="1">
        <v>0.9337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ht="12.75" customHeight="1">
      <c r="A22" s="1"/>
      <c r="B22" s="1">
        <v>7.0</v>
      </c>
      <c r="C22" s="1">
        <v>0.9491</v>
      </c>
      <c r="D22" s="1">
        <v>0.9701</v>
      </c>
      <c r="E22" s="1">
        <v>0.9714</v>
      </c>
      <c r="F22" s="1">
        <v>0.9679</v>
      </c>
      <c r="G22" s="1">
        <v>0.9673</v>
      </c>
      <c r="H22" s="1">
        <v>0.9589</v>
      </c>
      <c r="I22" s="1">
        <v>0.9517</v>
      </c>
      <c r="J22" s="1">
        <v>0.9515</v>
      </c>
      <c r="K22" s="1">
        <v>0.9513</v>
      </c>
      <c r="L22" s="1">
        <v>0.94715</v>
      </c>
      <c r="M22" s="1">
        <v>0.943</v>
      </c>
      <c r="N22" s="1">
        <v>0.9425</v>
      </c>
      <c r="O22" s="1">
        <v>0.942</v>
      </c>
      <c r="P22" s="1">
        <v>0.9435</v>
      </c>
      <c r="Q22" s="1">
        <v>0.945</v>
      </c>
      <c r="R22" s="1">
        <v>0.94835</v>
      </c>
      <c r="S22" s="1">
        <v>0.9517</v>
      </c>
      <c r="T22" s="1">
        <v>0.95545</v>
      </c>
      <c r="U22" s="1">
        <v>0.9592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ht="12.75" customHeight="1">
      <c r="A23" s="1"/>
      <c r="B23" s="1">
        <v>7.5</v>
      </c>
      <c r="C23" s="1">
        <v>0.9672</v>
      </c>
      <c r="D23" s="1">
        <v>1.0106</v>
      </c>
      <c r="E23" s="1">
        <v>1.0103</v>
      </c>
      <c r="F23" s="1">
        <v>1.0075</v>
      </c>
      <c r="G23" s="1">
        <v>1.0005</v>
      </c>
      <c r="H23" s="1">
        <v>0.993</v>
      </c>
      <c r="I23" s="1">
        <v>0.9963</v>
      </c>
      <c r="J23" s="1">
        <v>0.98785</v>
      </c>
      <c r="K23" s="1">
        <v>0.9794</v>
      </c>
      <c r="L23" s="1">
        <v>0.9752</v>
      </c>
      <c r="M23" s="1">
        <v>0.971</v>
      </c>
      <c r="N23" s="1">
        <v>0.9717</v>
      </c>
      <c r="O23" s="1">
        <v>0.9724</v>
      </c>
      <c r="P23" s="1">
        <v>0.97115</v>
      </c>
      <c r="Q23" s="1">
        <v>0.9699</v>
      </c>
      <c r="R23" s="1">
        <v>0.9709</v>
      </c>
      <c r="S23" s="1">
        <v>0.9719</v>
      </c>
      <c r="T23" s="1">
        <v>0.9751</v>
      </c>
      <c r="U23" s="1">
        <v>0.9783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ht="12.75" customHeight="1">
      <c r="A24" s="1"/>
      <c r="B24" s="1">
        <v>8.0</v>
      </c>
      <c r="C24" s="1">
        <v>0.9784</v>
      </c>
      <c r="D24" s="1">
        <v>1.03</v>
      </c>
      <c r="E24" s="1">
        <v>1.0401</v>
      </c>
      <c r="F24" s="1">
        <v>1.0405</v>
      </c>
      <c r="G24" s="1">
        <v>1.0356</v>
      </c>
      <c r="H24" s="1">
        <v>1.0342</v>
      </c>
      <c r="I24" s="1">
        <v>1.0237</v>
      </c>
      <c r="J24" s="1">
        <v>1.0163</v>
      </c>
      <c r="K24" s="1">
        <v>1.0089</v>
      </c>
      <c r="L24" s="1">
        <v>1.0083</v>
      </c>
      <c r="M24" s="1">
        <v>1.0077</v>
      </c>
      <c r="N24" s="1">
        <v>1.00165</v>
      </c>
      <c r="O24" s="1">
        <v>0.9956</v>
      </c>
      <c r="P24" s="1">
        <v>0.9943</v>
      </c>
      <c r="Q24" s="1">
        <v>0.993</v>
      </c>
      <c r="R24" s="1">
        <v>0.9945</v>
      </c>
      <c r="S24" s="1">
        <v>0.996</v>
      </c>
      <c r="T24" s="1">
        <v>0.9987</v>
      </c>
      <c r="U24" s="1">
        <v>1.0014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ht="12.75" customHeight="1">
      <c r="A25" s="1"/>
      <c r="B25" s="1">
        <v>8.5</v>
      </c>
      <c r="C25" s="1">
        <v>0.9776</v>
      </c>
      <c r="D25" s="1">
        <v>1.0631</v>
      </c>
      <c r="E25" s="1">
        <v>1.0745</v>
      </c>
      <c r="F25" s="1">
        <v>1.0744</v>
      </c>
      <c r="G25" s="1">
        <v>1.0718</v>
      </c>
      <c r="H25" s="1">
        <v>1.0624</v>
      </c>
      <c r="I25" s="1">
        <v>1.0545</v>
      </c>
      <c r="J25" s="1">
        <v>1.05045</v>
      </c>
      <c r="K25" s="1">
        <v>1.0464</v>
      </c>
      <c r="L25" s="1">
        <v>1.0375</v>
      </c>
      <c r="M25" s="1">
        <v>1.0286</v>
      </c>
      <c r="N25" s="1">
        <v>1.0243</v>
      </c>
      <c r="O25" s="1">
        <v>1.02</v>
      </c>
      <c r="P25" s="1">
        <v>1.0197</v>
      </c>
      <c r="Q25" s="1">
        <v>1.0194</v>
      </c>
      <c r="R25" s="1">
        <v>1.02075</v>
      </c>
      <c r="S25" s="1">
        <v>1.0221</v>
      </c>
      <c r="T25" s="1">
        <v>1.02475</v>
      </c>
      <c r="U25" s="1">
        <v>1.0274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ht="12.75" customHeight="1">
      <c r="A26" s="1"/>
      <c r="B26" s="1">
        <v>9.0</v>
      </c>
      <c r="C26" s="1">
        <v>0.9789</v>
      </c>
      <c r="D26" s="1">
        <v>1.0715</v>
      </c>
      <c r="E26" s="1">
        <v>1.0981</v>
      </c>
      <c r="F26" s="1">
        <v>1.1053</v>
      </c>
      <c r="G26" s="1">
        <v>1.1007</v>
      </c>
      <c r="H26" s="1">
        <v>1.1013</v>
      </c>
      <c r="I26" s="1">
        <v>1.0906</v>
      </c>
      <c r="J26" s="1">
        <v>1.07985</v>
      </c>
      <c r="K26" s="1">
        <v>1.0691</v>
      </c>
      <c r="L26" s="1">
        <v>1.06045</v>
      </c>
      <c r="M26" s="1">
        <v>1.0518</v>
      </c>
      <c r="N26" s="1">
        <v>1.04965</v>
      </c>
      <c r="O26" s="1">
        <v>1.0475</v>
      </c>
      <c r="P26" s="1">
        <v>1.04845</v>
      </c>
      <c r="Q26" s="1">
        <v>1.0494</v>
      </c>
      <c r="R26" s="1">
        <v>1.05185</v>
      </c>
      <c r="S26" s="1">
        <v>1.0543</v>
      </c>
      <c r="T26" s="1">
        <v>1.05785</v>
      </c>
      <c r="U26" s="1">
        <v>1.0614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ht="12.75" customHeight="1">
      <c r="A27" s="1"/>
      <c r="B27" s="1">
        <v>9.5</v>
      </c>
      <c r="C27" s="1">
        <v>0.9057</v>
      </c>
      <c r="D27" s="1">
        <v>1.1004</v>
      </c>
      <c r="E27" s="1">
        <v>1.1286</v>
      </c>
      <c r="F27" s="1">
        <v>1.1334</v>
      </c>
      <c r="G27" s="1">
        <v>1.136</v>
      </c>
      <c r="H27" s="1">
        <v>1.1248</v>
      </c>
      <c r="I27" s="1">
        <v>1.1146</v>
      </c>
      <c r="J27" s="1">
        <v>1.1027</v>
      </c>
      <c r="K27" s="1">
        <v>1.0908</v>
      </c>
      <c r="L27" s="1">
        <v>1.08665</v>
      </c>
      <c r="M27" s="1">
        <v>1.0825</v>
      </c>
      <c r="N27" s="1">
        <v>1.0806</v>
      </c>
      <c r="O27" s="1">
        <v>1.0787</v>
      </c>
      <c r="P27" s="1">
        <v>1.0804</v>
      </c>
      <c r="Q27" s="1">
        <v>1.0821</v>
      </c>
      <c r="R27" s="1">
        <v>1.08505</v>
      </c>
      <c r="S27" s="1">
        <v>1.088</v>
      </c>
      <c r="T27" s="1">
        <v>1.09095</v>
      </c>
      <c r="U27" s="1">
        <v>1.0939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ht="12.75" customHeight="1">
      <c r="A28" s="1"/>
      <c r="B28" s="1">
        <v>10.0</v>
      </c>
      <c r="C28" s="1">
        <v>0.7934</v>
      </c>
      <c r="D28" s="1">
        <v>1.0825</v>
      </c>
      <c r="E28" s="1">
        <v>1.1432</v>
      </c>
      <c r="F28" s="1">
        <v>1.1622</v>
      </c>
      <c r="G28" s="1">
        <v>1.1579</v>
      </c>
      <c r="H28" s="1">
        <v>1.1515</v>
      </c>
      <c r="I28" s="1">
        <v>1.1482</v>
      </c>
      <c r="J28" s="1">
        <v>1.13325</v>
      </c>
      <c r="K28" s="1">
        <v>1.1183</v>
      </c>
      <c r="L28" s="1">
        <v>1.1135</v>
      </c>
      <c r="M28" s="1">
        <v>1.1087</v>
      </c>
      <c r="N28" s="1">
        <v>1.1086</v>
      </c>
      <c r="O28" s="1">
        <v>1.1085</v>
      </c>
      <c r="P28" s="1">
        <v>1.1101</v>
      </c>
      <c r="Q28" s="1">
        <v>1.1117</v>
      </c>
      <c r="R28" s="1">
        <v>1.1156</v>
      </c>
      <c r="S28" s="1">
        <v>1.1195</v>
      </c>
      <c r="T28" s="1">
        <v>1.12405</v>
      </c>
      <c r="U28" s="1">
        <v>1.1286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ht="12.75" customHeight="1">
      <c r="A29" s="1"/>
      <c r="B29" s="1">
        <v>10.5</v>
      </c>
      <c r="C29" s="1">
        <v>0.7391</v>
      </c>
      <c r="D29" s="1">
        <v>1.1237</v>
      </c>
      <c r="E29" s="1">
        <v>1.1732</v>
      </c>
      <c r="F29" s="1">
        <v>1.1822</v>
      </c>
      <c r="G29" s="1">
        <v>1.1917</v>
      </c>
      <c r="H29" s="1">
        <v>1.1764</v>
      </c>
      <c r="I29" s="1">
        <v>1.1597</v>
      </c>
      <c r="J29" s="1">
        <v>1.14985</v>
      </c>
      <c r="K29" s="1">
        <v>1.14</v>
      </c>
      <c r="L29" s="1">
        <v>1.1376</v>
      </c>
      <c r="M29" s="1">
        <v>1.1352</v>
      </c>
      <c r="N29" s="1">
        <v>1.13705</v>
      </c>
      <c r="O29" s="1">
        <v>1.1389</v>
      </c>
      <c r="P29" s="1">
        <v>1.1429</v>
      </c>
      <c r="Q29" s="1">
        <v>1.1469</v>
      </c>
      <c r="R29" s="1">
        <v>1.1509</v>
      </c>
      <c r="S29" s="1">
        <v>1.1549</v>
      </c>
      <c r="T29" s="1">
        <v>1.15825</v>
      </c>
      <c r="U29" s="1">
        <v>1.1616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ht="12.75" customHeight="1">
      <c r="A30" s="1"/>
      <c r="B30" s="1">
        <v>11.0</v>
      </c>
      <c r="C30" s="1">
        <v>0.6848</v>
      </c>
      <c r="D30" s="3">
        <v>0.6127</v>
      </c>
      <c r="E30" s="1">
        <v>1.1678</v>
      </c>
      <c r="F30" s="1">
        <v>1.2098</v>
      </c>
      <c r="G30" s="1">
        <v>1.2033</v>
      </c>
      <c r="H30" s="1">
        <v>1.1904</v>
      </c>
      <c r="I30" s="1">
        <v>1.1774</v>
      </c>
      <c r="J30" s="1">
        <v>1.1715</v>
      </c>
      <c r="K30" s="1">
        <v>1.1656</v>
      </c>
      <c r="L30" s="1">
        <v>1.165</v>
      </c>
      <c r="M30" s="1">
        <v>1.1644</v>
      </c>
      <c r="N30" s="1">
        <v>1.16705</v>
      </c>
      <c r="O30" s="1">
        <v>1.1697</v>
      </c>
      <c r="P30" s="1">
        <v>1.1728</v>
      </c>
      <c r="Q30" s="1">
        <v>1.1759</v>
      </c>
      <c r="R30" s="1">
        <v>1.18145</v>
      </c>
      <c r="S30" s="1">
        <v>1.187</v>
      </c>
      <c r="T30" s="1">
        <v>1.1915</v>
      </c>
      <c r="U30" s="1">
        <v>1.196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ht="12.75" customHeight="1">
      <c r="A31" s="1"/>
      <c r="B31" s="1">
        <v>11.5</v>
      </c>
      <c r="C31" s="1">
        <v>0.6305</v>
      </c>
      <c r="D31" s="3">
        <v>0.6216</v>
      </c>
      <c r="E31" s="1">
        <v>1.2095</v>
      </c>
      <c r="F31" s="1">
        <v>1.217</v>
      </c>
      <c r="G31" s="1">
        <v>1.2273</v>
      </c>
      <c r="H31" s="1">
        <v>1.2104</v>
      </c>
      <c r="I31" s="1">
        <v>1.198</v>
      </c>
      <c r="J31" s="1">
        <v>1.19315</v>
      </c>
      <c r="K31" s="1">
        <v>1.1883</v>
      </c>
      <c r="L31" s="1">
        <v>1.18875</v>
      </c>
      <c r="M31" s="1">
        <v>1.1892</v>
      </c>
      <c r="N31" s="1">
        <v>1.19415</v>
      </c>
      <c r="O31" s="1">
        <v>1.1991</v>
      </c>
      <c r="P31" s="1">
        <v>1.204</v>
      </c>
      <c r="Q31" s="1">
        <v>1.2089</v>
      </c>
      <c r="R31" s="1">
        <v>1.21225</v>
      </c>
      <c r="S31" s="1">
        <v>1.2156</v>
      </c>
      <c r="T31" s="1">
        <v>1.22105</v>
      </c>
      <c r="U31" s="1">
        <v>1.2265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ht="12.75" customHeight="1">
      <c r="A32" s="1"/>
      <c r="B32" s="1">
        <v>12.0</v>
      </c>
      <c r="C32" s="3">
        <v>0.5693</v>
      </c>
      <c r="D32" s="3">
        <v>0.6305</v>
      </c>
      <c r="E32" s="1">
        <v>1.169</v>
      </c>
      <c r="F32" s="1">
        <v>1.2469</v>
      </c>
      <c r="G32" s="1">
        <v>1.2309</v>
      </c>
      <c r="H32" s="1">
        <v>1.2231</v>
      </c>
      <c r="I32" s="1">
        <v>1.2154</v>
      </c>
      <c r="J32" s="1">
        <v>1.21345</v>
      </c>
      <c r="K32" s="1">
        <v>1.2115</v>
      </c>
      <c r="L32" s="1">
        <v>1.21455</v>
      </c>
      <c r="M32" s="1">
        <v>1.2176</v>
      </c>
      <c r="N32" s="1">
        <v>1.22045</v>
      </c>
      <c r="O32" s="1">
        <v>1.2233</v>
      </c>
      <c r="P32" s="1">
        <v>1.2302</v>
      </c>
      <c r="Q32" s="1">
        <v>1.2371</v>
      </c>
      <c r="R32" s="1">
        <v>1.2424</v>
      </c>
      <c r="S32" s="1">
        <v>1.2477</v>
      </c>
      <c r="T32" s="1">
        <v>1.2513</v>
      </c>
      <c r="U32" s="1">
        <v>1.2549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ht="12.75" customHeight="1">
      <c r="A33" s="1"/>
      <c r="B33" s="1">
        <v>12.5</v>
      </c>
      <c r="C33" s="3">
        <v>0.58155</v>
      </c>
      <c r="D33" s="3">
        <v>0.6394</v>
      </c>
      <c r="E33" s="1">
        <v>1.1417</v>
      </c>
      <c r="F33" s="1">
        <v>1.2307</v>
      </c>
      <c r="G33" s="1">
        <v>1.2471</v>
      </c>
      <c r="H33" s="1">
        <v>1.2422</v>
      </c>
      <c r="I33" s="1">
        <v>1.2344</v>
      </c>
      <c r="J33" s="1">
        <v>1.23355</v>
      </c>
      <c r="K33" s="1">
        <v>1.2327</v>
      </c>
      <c r="L33" s="1">
        <v>1.2365</v>
      </c>
      <c r="M33" s="1">
        <v>1.2403</v>
      </c>
      <c r="N33" s="1">
        <v>1.2465</v>
      </c>
      <c r="O33" s="1">
        <v>1.2527</v>
      </c>
      <c r="P33" s="1">
        <v>1.25655</v>
      </c>
      <c r="Q33" s="1">
        <v>1.2604</v>
      </c>
      <c r="R33" s="1">
        <v>1.26695</v>
      </c>
      <c r="S33" s="1">
        <v>1.2735</v>
      </c>
      <c r="T33" s="1">
        <v>1.279</v>
      </c>
      <c r="U33" s="1">
        <v>1.2845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ht="12.75" customHeight="1">
      <c r="A34" s="1"/>
      <c r="B34" s="1">
        <v>13.0</v>
      </c>
      <c r="C34" s="3">
        <v>0.5938</v>
      </c>
      <c r="D34" s="3">
        <v>0.6483</v>
      </c>
      <c r="E34" s="1">
        <v>0.9274</v>
      </c>
      <c r="F34" s="1">
        <v>1.2497</v>
      </c>
      <c r="G34" s="1">
        <v>1.2554</v>
      </c>
      <c r="H34" s="1">
        <v>1.2531</v>
      </c>
      <c r="I34" s="1">
        <v>1.2509</v>
      </c>
      <c r="J34" s="1">
        <v>1.252</v>
      </c>
      <c r="K34" s="1">
        <v>1.2531</v>
      </c>
      <c r="L34" s="1">
        <v>1.2577</v>
      </c>
      <c r="M34" s="1">
        <v>1.2623</v>
      </c>
      <c r="N34" s="1">
        <v>1.2678</v>
      </c>
      <c r="O34" s="1">
        <v>1.2733</v>
      </c>
      <c r="P34" s="1">
        <v>1.28065</v>
      </c>
      <c r="Q34" s="1">
        <v>1.288</v>
      </c>
      <c r="R34" s="1">
        <v>1.29275</v>
      </c>
      <c r="S34" s="1">
        <v>1.2975</v>
      </c>
      <c r="T34" s="1">
        <v>1.3026</v>
      </c>
      <c r="U34" s="1">
        <v>1.3077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ht="12.75" customHeight="1">
      <c r="A35" s="1"/>
      <c r="B35" s="1">
        <v>13.5</v>
      </c>
      <c r="C35" s="3">
        <v>0.60605</v>
      </c>
      <c r="D35" s="3">
        <v>0.6572</v>
      </c>
      <c r="E35" s="1">
        <v>0.9598</v>
      </c>
      <c r="F35" s="1">
        <v>1.2423</v>
      </c>
      <c r="G35" s="1">
        <v>1.2643</v>
      </c>
      <c r="H35" s="1">
        <v>1.2711</v>
      </c>
      <c r="I35" s="1">
        <v>1.2658</v>
      </c>
      <c r="J35" s="1">
        <v>1.2678</v>
      </c>
      <c r="K35" s="1">
        <v>1.2698</v>
      </c>
      <c r="L35" s="1">
        <v>1.27565</v>
      </c>
      <c r="M35" s="1">
        <v>1.2815</v>
      </c>
      <c r="N35" s="1">
        <v>1.28845</v>
      </c>
      <c r="O35" s="1">
        <v>1.2954</v>
      </c>
      <c r="P35" s="1">
        <v>1.30055</v>
      </c>
      <c r="Q35" s="1">
        <v>1.3057</v>
      </c>
      <c r="R35" s="1">
        <v>1.3138</v>
      </c>
      <c r="S35" s="1">
        <v>1.3219</v>
      </c>
      <c r="T35" s="1">
        <v>1.32775</v>
      </c>
      <c r="U35" s="1">
        <v>1.3336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ht="12.75" customHeight="1">
      <c r="A36" s="1"/>
      <c r="B36" s="1">
        <v>14.0</v>
      </c>
      <c r="C36" s="3">
        <v>0.6183</v>
      </c>
      <c r="D36" s="3">
        <v>0.6661</v>
      </c>
      <c r="E36" s="1">
        <v>0.9145</v>
      </c>
      <c r="F36" s="1">
        <v>1.2196</v>
      </c>
      <c r="G36" s="1">
        <v>1.2762</v>
      </c>
      <c r="H36" s="1">
        <v>1.2752</v>
      </c>
      <c r="I36" s="1">
        <v>1.2789</v>
      </c>
      <c r="J36" s="1">
        <v>1.2822</v>
      </c>
      <c r="K36" s="1">
        <v>1.2855</v>
      </c>
      <c r="L36" s="1">
        <v>1.2913</v>
      </c>
      <c r="M36" s="1">
        <v>1.2971</v>
      </c>
      <c r="N36" s="1">
        <v>1.30425</v>
      </c>
      <c r="O36" s="1">
        <v>1.3114</v>
      </c>
      <c r="P36" s="1">
        <v>1.3199</v>
      </c>
      <c r="Q36" s="1">
        <v>1.3284</v>
      </c>
      <c r="R36" s="1">
        <v>1.3331</v>
      </c>
      <c r="S36" s="1">
        <v>1.3378</v>
      </c>
      <c r="T36" s="1">
        <v>1.3453</v>
      </c>
      <c r="U36" s="1">
        <v>1.3528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ht="12.75" customHeight="1">
      <c r="A37" s="1"/>
      <c r="B37" s="1">
        <v>14.5</v>
      </c>
      <c r="C37" s="3">
        <v>0.63055</v>
      </c>
      <c r="D37" s="3">
        <v>0.675</v>
      </c>
      <c r="E37" s="3">
        <v>0.53515</v>
      </c>
      <c r="F37" s="1">
        <v>1.2542</v>
      </c>
      <c r="G37" s="1">
        <v>1.2667</v>
      </c>
      <c r="H37" s="1">
        <v>1.2903</v>
      </c>
      <c r="I37" s="1">
        <v>1.2884</v>
      </c>
      <c r="J37" s="1">
        <v>1.29285</v>
      </c>
      <c r="K37" s="1">
        <v>1.2973</v>
      </c>
      <c r="L37" s="1">
        <v>1.304</v>
      </c>
      <c r="M37" s="1">
        <v>1.3107</v>
      </c>
      <c r="N37" s="1">
        <v>1.3193</v>
      </c>
      <c r="O37" s="1">
        <v>1.3279</v>
      </c>
      <c r="P37" s="1">
        <v>1.33345</v>
      </c>
      <c r="Q37" s="1">
        <v>1.339</v>
      </c>
      <c r="R37" s="1">
        <v>1.34905</v>
      </c>
      <c r="S37" s="1">
        <v>1.3591</v>
      </c>
      <c r="T37" s="1">
        <v>1.3661</v>
      </c>
      <c r="U37" s="1">
        <v>1.3731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ht="12.75" customHeight="1">
      <c r="A38" s="1"/>
      <c r="B38" s="1">
        <v>15.0</v>
      </c>
      <c r="C38" s="3">
        <v>0.6428</v>
      </c>
      <c r="D38" s="3">
        <v>0.6839</v>
      </c>
      <c r="E38" s="3">
        <v>0.5538</v>
      </c>
      <c r="F38" s="3">
        <v>0.6812</v>
      </c>
      <c r="G38" s="1">
        <v>1.2804</v>
      </c>
      <c r="H38" s="1">
        <v>1.2863</v>
      </c>
      <c r="I38" s="1">
        <v>1.2943</v>
      </c>
      <c r="J38" s="1">
        <v>1.3002</v>
      </c>
      <c r="K38" s="1">
        <v>1.3061</v>
      </c>
      <c r="L38" s="1">
        <v>1.3141</v>
      </c>
      <c r="M38" s="1">
        <v>1.3221</v>
      </c>
      <c r="N38" s="1">
        <v>1.3288</v>
      </c>
      <c r="O38" s="1">
        <v>1.3355</v>
      </c>
      <c r="P38" s="1">
        <v>1.34625</v>
      </c>
      <c r="Q38" s="1">
        <v>1.357</v>
      </c>
      <c r="R38" s="1">
        <v>1.364</v>
      </c>
      <c r="S38" s="1">
        <v>1.371</v>
      </c>
      <c r="T38" s="1">
        <v>1.37725</v>
      </c>
      <c r="U38" s="1">
        <v>1.3835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ht="12.75" customHeight="1">
      <c r="A39" s="1"/>
      <c r="B39" s="1">
        <v>15.5</v>
      </c>
      <c r="C39" s="3">
        <v>0.65505</v>
      </c>
      <c r="D39" s="3">
        <v>0.6928</v>
      </c>
      <c r="E39" s="3">
        <v>0.57245</v>
      </c>
      <c r="F39" s="3">
        <v>0.691</v>
      </c>
      <c r="G39" s="1">
        <v>1.2638</v>
      </c>
      <c r="H39" s="1">
        <v>1.2851</v>
      </c>
      <c r="I39" s="1">
        <v>1.3035</v>
      </c>
      <c r="J39" s="1">
        <v>1.3079</v>
      </c>
      <c r="K39" s="1">
        <v>1.3123</v>
      </c>
      <c r="L39" s="1">
        <v>1.31895</v>
      </c>
      <c r="M39" s="1">
        <v>1.3256</v>
      </c>
      <c r="N39" s="1">
        <v>1.3365</v>
      </c>
      <c r="O39" s="1">
        <v>1.3474</v>
      </c>
      <c r="P39" s="1">
        <v>1.3545</v>
      </c>
      <c r="Q39" s="1">
        <v>1.3616</v>
      </c>
      <c r="R39" s="1">
        <v>1.37065</v>
      </c>
      <c r="S39" s="1">
        <v>1.3797</v>
      </c>
      <c r="T39" s="1">
        <v>1.38985</v>
      </c>
      <c r="U39" s="1">
        <v>1.4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ht="12.75" customHeight="1">
      <c r="A40" s="1"/>
      <c r="B40" s="1">
        <v>16.0</v>
      </c>
      <c r="C40" s="3">
        <v>0.6673</v>
      </c>
      <c r="D40" s="3">
        <v>0.7017</v>
      </c>
      <c r="E40" s="3">
        <v>0.5911</v>
      </c>
      <c r="F40" s="3">
        <v>0.7008</v>
      </c>
      <c r="G40" s="1">
        <v>1.2274</v>
      </c>
      <c r="H40" s="1">
        <v>1.295</v>
      </c>
      <c r="I40" s="1">
        <v>1.2941</v>
      </c>
      <c r="J40" s="1">
        <v>1.305</v>
      </c>
      <c r="K40" s="1">
        <v>1.3159</v>
      </c>
      <c r="L40" s="1">
        <v>1.3237</v>
      </c>
      <c r="M40" s="1">
        <v>1.3315</v>
      </c>
      <c r="N40" s="1">
        <v>1.33995</v>
      </c>
      <c r="O40" s="1">
        <v>1.3484</v>
      </c>
      <c r="P40" s="1">
        <v>1.35785</v>
      </c>
      <c r="Q40" s="1">
        <v>1.3673</v>
      </c>
      <c r="R40" s="1">
        <v>1.3789</v>
      </c>
      <c r="S40" s="1">
        <v>1.3905</v>
      </c>
      <c r="T40" s="1">
        <v>1.39735</v>
      </c>
      <c r="U40" s="1">
        <v>1.4042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ht="12.75" customHeight="1">
      <c r="A41" s="1"/>
      <c r="B41" s="1">
        <v>16.5</v>
      </c>
      <c r="C41" s="3">
        <v>0.67955</v>
      </c>
      <c r="D41" s="3">
        <v>0.7106</v>
      </c>
      <c r="E41" s="3">
        <v>0.60975</v>
      </c>
      <c r="F41" s="3">
        <v>0.7106</v>
      </c>
      <c r="G41" s="1">
        <v>1.1821</v>
      </c>
      <c r="H41" s="1">
        <v>1.2673</v>
      </c>
      <c r="I41" s="1">
        <v>1.2893</v>
      </c>
      <c r="J41" s="1">
        <v>1.3003</v>
      </c>
      <c r="K41" s="1">
        <v>1.3113</v>
      </c>
      <c r="L41" s="1">
        <v>1.3214</v>
      </c>
      <c r="M41" s="1">
        <v>1.3315</v>
      </c>
      <c r="N41" s="1">
        <v>1.3396</v>
      </c>
      <c r="O41" s="1">
        <v>1.3477</v>
      </c>
      <c r="P41" s="1">
        <v>1.36005</v>
      </c>
      <c r="Q41" s="1">
        <v>1.3724</v>
      </c>
      <c r="R41" s="1">
        <v>1.3799</v>
      </c>
      <c r="S41" s="1">
        <v>1.3874</v>
      </c>
      <c r="T41" s="1">
        <v>1.3969</v>
      </c>
      <c r="U41" s="1">
        <v>1.4064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ht="12.75" customHeight="1">
      <c r="A42" s="1"/>
      <c r="B42" s="1">
        <v>17.0</v>
      </c>
      <c r="C42" s="3">
        <v>0.6918</v>
      </c>
      <c r="D42" s="3">
        <v>0.7195</v>
      </c>
      <c r="E42" s="3">
        <v>0.6284</v>
      </c>
      <c r="F42" s="3">
        <v>0.7204</v>
      </c>
      <c r="G42" s="1">
        <v>0.96135</v>
      </c>
      <c r="H42" s="1">
        <v>1.2342</v>
      </c>
      <c r="I42" s="1">
        <v>1.2931</v>
      </c>
      <c r="J42" s="1">
        <v>1.2997</v>
      </c>
      <c r="K42" s="1">
        <v>1.3063</v>
      </c>
      <c r="L42" s="1">
        <v>1.3158</v>
      </c>
      <c r="M42" s="1">
        <v>1.3253</v>
      </c>
      <c r="N42" s="1">
        <v>1.3361</v>
      </c>
      <c r="O42" s="1">
        <v>1.3469</v>
      </c>
      <c r="P42" s="1">
        <v>1.35655</v>
      </c>
      <c r="Q42" s="1">
        <v>1.3662</v>
      </c>
      <c r="R42" s="1">
        <v>1.3754</v>
      </c>
      <c r="S42" s="1">
        <v>1.3846</v>
      </c>
      <c r="T42" s="1">
        <v>1.3976</v>
      </c>
      <c r="U42" s="1">
        <v>1.4106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ht="12.75" customHeight="1">
      <c r="A43" s="1"/>
      <c r="B43" s="1">
        <v>17.5</v>
      </c>
      <c r="C43" s="3">
        <v>0.70405</v>
      </c>
      <c r="D43" s="3">
        <v>0.7284</v>
      </c>
      <c r="E43" s="3">
        <v>0.64705</v>
      </c>
      <c r="F43" s="3">
        <v>0.7302</v>
      </c>
      <c r="G43" s="1">
        <v>0.96015</v>
      </c>
      <c r="H43" s="1">
        <v>1.1982</v>
      </c>
      <c r="I43" s="1">
        <v>1.2635</v>
      </c>
      <c r="J43" s="1">
        <v>1.28205</v>
      </c>
      <c r="K43" s="1">
        <v>1.3006</v>
      </c>
      <c r="L43" s="1">
        <v>1.3089</v>
      </c>
      <c r="M43" s="1">
        <v>1.3172</v>
      </c>
      <c r="N43" s="1">
        <v>1.3284</v>
      </c>
      <c r="O43" s="1">
        <v>1.3396</v>
      </c>
      <c r="P43" s="1">
        <v>1.3472</v>
      </c>
      <c r="Q43" s="1">
        <v>1.3548</v>
      </c>
      <c r="R43" s="1">
        <v>1.36815</v>
      </c>
      <c r="S43" s="1">
        <v>1.3815</v>
      </c>
      <c r="T43" s="1">
        <v>1.3929</v>
      </c>
      <c r="U43" s="1">
        <v>1.4043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ht="12.75" customHeight="1">
      <c r="A44" s="1"/>
      <c r="B44" s="1">
        <v>18.0</v>
      </c>
      <c r="C44" s="3">
        <v>0.7163</v>
      </c>
      <c r="D44" s="3">
        <v>0.7373</v>
      </c>
      <c r="E44" s="3">
        <v>0.6657</v>
      </c>
      <c r="F44" s="3">
        <v>0.74</v>
      </c>
      <c r="G44" s="1">
        <v>0.7587</v>
      </c>
      <c r="H44" s="1">
        <v>1.1944</v>
      </c>
      <c r="I44" s="1">
        <v>1.2231</v>
      </c>
      <c r="J44" s="1">
        <v>1.25565</v>
      </c>
      <c r="K44" s="1">
        <v>1.2882</v>
      </c>
      <c r="L44" s="1">
        <v>1.29695</v>
      </c>
      <c r="M44" s="1">
        <v>1.3057</v>
      </c>
      <c r="N44" s="1">
        <v>1.3147</v>
      </c>
      <c r="O44" s="1">
        <v>1.3237</v>
      </c>
      <c r="P44" s="1">
        <v>1.3346</v>
      </c>
      <c r="Q44" s="1">
        <v>1.3455</v>
      </c>
      <c r="R44" s="1">
        <v>1.35775</v>
      </c>
      <c r="S44" s="1">
        <v>1.37</v>
      </c>
      <c r="T44" s="1">
        <v>1.3759</v>
      </c>
      <c r="U44" s="1">
        <v>1.3818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ht="12.75" customHeight="1">
      <c r="A45" s="1"/>
      <c r="B45" s="1">
        <v>18.5</v>
      </c>
      <c r="C45" s="3">
        <v>0.72855</v>
      </c>
      <c r="D45" s="3">
        <v>0.7462</v>
      </c>
      <c r="E45" s="3">
        <v>0.68435</v>
      </c>
      <c r="F45" s="3">
        <v>0.7498</v>
      </c>
      <c r="G45" s="3">
        <v>0.733545</v>
      </c>
      <c r="H45" s="1">
        <v>0.93775</v>
      </c>
      <c r="I45" s="1">
        <v>1.1524</v>
      </c>
      <c r="J45" s="1">
        <v>1.20595</v>
      </c>
      <c r="K45" s="1">
        <v>1.2595</v>
      </c>
      <c r="L45" s="1">
        <v>1.27545</v>
      </c>
      <c r="M45" s="1">
        <v>1.2914</v>
      </c>
      <c r="N45" s="1">
        <v>1.29945</v>
      </c>
      <c r="O45" s="1">
        <v>1.3075</v>
      </c>
      <c r="P45" s="1">
        <v>1.3181</v>
      </c>
      <c r="Q45" s="1">
        <v>1.3287</v>
      </c>
      <c r="R45" s="1">
        <v>1.3379</v>
      </c>
      <c r="S45" s="1">
        <v>1.3471</v>
      </c>
      <c r="T45" s="1">
        <v>1.3552</v>
      </c>
      <c r="U45" s="1">
        <v>1.3633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ht="12.75" customHeight="1">
      <c r="A46" s="1"/>
      <c r="B46" s="1">
        <v>19.0</v>
      </c>
      <c r="C46" s="3">
        <v>0.7408</v>
      </c>
      <c r="D46" s="3">
        <v>0.7551</v>
      </c>
      <c r="E46" s="3">
        <v>0.703</v>
      </c>
      <c r="F46" s="3">
        <v>0.7596</v>
      </c>
      <c r="G46" s="3">
        <v>0.74602</v>
      </c>
      <c r="H46" s="1">
        <v>0.9305</v>
      </c>
      <c r="I46" s="1">
        <v>1.12</v>
      </c>
      <c r="J46" s="1">
        <v>1.1723</v>
      </c>
      <c r="K46" s="1">
        <v>1.2246</v>
      </c>
      <c r="L46" s="1">
        <v>1.2503</v>
      </c>
      <c r="M46" s="1">
        <v>1.276</v>
      </c>
      <c r="N46" s="1">
        <v>1.28115</v>
      </c>
      <c r="O46" s="1">
        <v>1.2863</v>
      </c>
      <c r="P46" s="1">
        <v>1.2963</v>
      </c>
      <c r="Q46" s="1">
        <v>1.3063</v>
      </c>
      <c r="R46" s="1">
        <v>1.3127</v>
      </c>
      <c r="S46" s="1">
        <v>1.3191</v>
      </c>
      <c r="T46" s="1">
        <v>1.33015</v>
      </c>
      <c r="U46" s="1">
        <v>1.3412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ht="12.75" customHeight="1">
      <c r="A47" s="1"/>
      <c r="B47" s="1">
        <v>19.5</v>
      </c>
      <c r="C47" s="3">
        <v>0.75305</v>
      </c>
      <c r="D47" s="3">
        <v>0.764</v>
      </c>
      <c r="E47" s="3">
        <v>0.72165</v>
      </c>
      <c r="F47" s="3">
        <v>0.7694</v>
      </c>
      <c r="G47" s="3">
        <v>0.758495</v>
      </c>
      <c r="H47" s="3">
        <v>0.7609</v>
      </c>
      <c r="I47" s="3">
        <v>0.7667</v>
      </c>
      <c r="J47" s="1">
        <v>0.9752</v>
      </c>
      <c r="K47" s="1">
        <v>1.1837</v>
      </c>
      <c r="L47" s="1">
        <v>1.2138</v>
      </c>
      <c r="M47" s="1">
        <v>1.2439</v>
      </c>
      <c r="N47" s="1">
        <v>1.2531</v>
      </c>
      <c r="O47" s="1">
        <v>1.2623</v>
      </c>
      <c r="P47" s="1">
        <v>1.27245</v>
      </c>
      <c r="Q47" s="1">
        <v>1.2826</v>
      </c>
      <c r="R47" s="1">
        <v>1.2881</v>
      </c>
      <c r="S47" s="1">
        <v>1.2936</v>
      </c>
      <c r="T47" s="1">
        <v>1.3025</v>
      </c>
      <c r="U47" s="1">
        <v>1.3114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ht="12.75" customHeight="1">
      <c r="A48" s="1"/>
      <c r="B48" s="1">
        <v>20.0</v>
      </c>
      <c r="C48" s="3">
        <v>0.7653</v>
      </c>
      <c r="D48" s="3">
        <v>0.7729</v>
      </c>
      <c r="E48" s="3">
        <v>0.7403</v>
      </c>
      <c r="F48" s="3">
        <v>0.7792</v>
      </c>
      <c r="G48" s="3">
        <v>0.77097</v>
      </c>
      <c r="H48" s="3">
        <v>0.7735</v>
      </c>
      <c r="I48" s="3">
        <v>0.779</v>
      </c>
      <c r="J48" s="1">
        <v>0.975174</v>
      </c>
      <c r="K48" s="1">
        <v>1.171348</v>
      </c>
      <c r="L48" s="1">
        <v>1.187824</v>
      </c>
      <c r="M48" s="1">
        <v>1.2043</v>
      </c>
      <c r="N48" s="1">
        <v>1.22225</v>
      </c>
      <c r="O48" s="1">
        <v>1.2402</v>
      </c>
      <c r="P48" s="1">
        <v>1.24895</v>
      </c>
      <c r="Q48" s="1">
        <v>1.2577</v>
      </c>
      <c r="R48" s="1">
        <v>1.26135</v>
      </c>
      <c r="S48" s="1">
        <v>1.265</v>
      </c>
      <c r="T48" s="1">
        <v>1.27205</v>
      </c>
      <c r="U48" s="1">
        <v>1.2791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ht="12.75" customHeight="1">
      <c r="A49" s="1"/>
      <c r="B49" s="1">
        <v>20.5</v>
      </c>
      <c r="C49" s="3">
        <v>0.77755</v>
      </c>
      <c r="D49" s="3">
        <v>0.7818</v>
      </c>
      <c r="E49" s="3">
        <v>0.75895</v>
      </c>
      <c r="F49" s="3">
        <v>0.789</v>
      </c>
      <c r="G49" s="3">
        <v>0.783445</v>
      </c>
      <c r="H49" s="3">
        <v>0.7861</v>
      </c>
      <c r="I49" s="3">
        <v>0.7913</v>
      </c>
      <c r="J49" s="1">
        <v>0.88185</v>
      </c>
      <c r="K49" s="1">
        <v>0.9724</v>
      </c>
      <c r="L49" s="1">
        <v>1.0625</v>
      </c>
      <c r="M49" s="1">
        <v>1.1526</v>
      </c>
      <c r="N49" s="1">
        <v>1.1904</v>
      </c>
      <c r="O49" s="1">
        <v>1.2282</v>
      </c>
      <c r="P49" s="1">
        <v>1.2276</v>
      </c>
      <c r="Q49" s="1">
        <v>1.227</v>
      </c>
      <c r="R49" s="1">
        <v>1.2328</v>
      </c>
      <c r="S49" s="1">
        <v>1.2386</v>
      </c>
      <c r="T49" s="1">
        <v>1.24395</v>
      </c>
      <c r="U49" s="1">
        <v>1.2493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ht="12.75" customHeight="1">
      <c r="A50" s="1"/>
      <c r="B50" s="1">
        <v>21.0</v>
      </c>
      <c r="C50" s="3">
        <v>0.7898</v>
      </c>
      <c r="D50" s="3">
        <v>0.7907</v>
      </c>
      <c r="E50" s="3">
        <v>0.7776</v>
      </c>
      <c r="F50" s="3">
        <v>0.7988</v>
      </c>
      <c r="G50" s="3">
        <v>0.79592</v>
      </c>
      <c r="H50" s="3">
        <v>0.7987</v>
      </c>
      <c r="I50" s="3">
        <v>0.8036</v>
      </c>
      <c r="J50" s="1">
        <v>0.80885</v>
      </c>
      <c r="K50" s="3">
        <v>0.8141</v>
      </c>
      <c r="L50" s="1">
        <v>0.8131</v>
      </c>
      <c r="M50" s="3">
        <v>0.8121</v>
      </c>
      <c r="N50" s="1">
        <v>1.0002</v>
      </c>
      <c r="O50" s="1">
        <v>1.1883</v>
      </c>
      <c r="P50" s="1">
        <v>1.19325</v>
      </c>
      <c r="Q50" s="1">
        <v>1.1982</v>
      </c>
      <c r="R50" s="1">
        <v>1.20655</v>
      </c>
      <c r="S50" s="1">
        <v>1.2149</v>
      </c>
      <c r="T50" s="1">
        <v>1.2233</v>
      </c>
      <c r="U50" s="1">
        <v>1.2317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ht="12.75" customHeight="1">
      <c r="A53" s="1"/>
      <c r="B53" s="1"/>
      <c r="C53" s="1" t="s">
        <v>8</v>
      </c>
      <c r="D53" s="1" t="s">
        <v>8</v>
      </c>
      <c r="E53" s="1" t="s">
        <v>8</v>
      </c>
      <c r="F53" s="1" t="s">
        <v>8</v>
      </c>
      <c r="G53" s="1" t="s">
        <v>8</v>
      </c>
      <c r="H53" s="1" t="s">
        <v>8</v>
      </c>
      <c r="I53" s="1" t="s">
        <v>8</v>
      </c>
      <c r="J53" s="1" t="s">
        <v>8</v>
      </c>
      <c r="K53" s="1" t="s">
        <v>8</v>
      </c>
      <c r="L53" s="1" t="s">
        <v>8</v>
      </c>
      <c r="M53" s="1" t="s">
        <v>8</v>
      </c>
      <c r="N53" s="1" t="s">
        <v>8</v>
      </c>
      <c r="O53" s="1" t="s">
        <v>8</v>
      </c>
      <c r="P53" s="1" t="s">
        <v>8</v>
      </c>
      <c r="Q53" s="1" t="s">
        <v>8</v>
      </c>
      <c r="R53" s="1" t="s">
        <v>8</v>
      </c>
      <c r="S53" s="1" t="s">
        <v>8</v>
      </c>
      <c r="T53" s="1" t="s">
        <v>8</v>
      </c>
      <c r="U53" s="1" t="s">
        <v>8</v>
      </c>
      <c r="V53" s="1"/>
      <c r="W53" s="1" t="s">
        <v>1</v>
      </c>
      <c r="X53" s="1"/>
      <c r="Y53" s="1"/>
      <c r="Z53" s="1"/>
      <c r="AA53" s="1"/>
      <c r="AB53" s="1" t="s">
        <v>2</v>
      </c>
      <c r="AC53" s="1"/>
      <c r="AD53" s="1"/>
      <c r="AE53" s="1"/>
      <c r="AF53" s="1"/>
      <c r="AG53" s="1"/>
      <c r="AH53" s="1"/>
      <c r="AI53" s="1" t="s">
        <v>4</v>
      </c>
      <c r="AK53" s="1" t="s">
        <v>5</v>
      </c>
      <c r="AM53" s="1" t="s">
        <v>6</v>
      </c>
      <c r="AN53" s="1" t="s">
        <v>7</v>
      </c>
      <c r="AO53" s="1" t="s">
        <v>8</v>
      </c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ht="12.75" customHeight="1">
      <c r="A54" s="1"/>
      <c r="B54" s="1"/>
      <c r="C54" s="1">
        <v>50000.0</v>
      </c>
      <c r="D54" s="1">
        <v>75000.0</v>
      </c>
      <c r="E54" s="1">
        <v>100000.0</v>
      </c>
      <c r="F54" s="1">
        <v>125000.0</v>
      </c>
      <c r="G54" s="1">
        <v>150000.0</v>
      </c>
      <c r="H54" s="1">
        <v>175000.0</v>
      </c>
      <c r="I54" s="1">
        <v>200000.0</v>
      </c>
      <c r="J54" s="1">
        <v>225000.0</v>
      </c>
      <c r="K54" s="1">
        <v>250000.0</v>
      </c>
      <c r="L54" s="1">
        <v>275000.0</v>
      </c>
      <c r="M54" s="1">
        <v>300000.0</v>
      </c>
      <c r="N54" s="1">
        <v>325000.0</v>
      </c>
      <c r="O54" s="1">
        <v>350000.0</v>
      </c>
      <c r="P54" s="1">
        <v>375000.0</v>
      </c>
      <c r="Q54" s="1">
        <v>400000.0</v>
      </c>
      <c r="R54" s="1">
        <v>425000.0</v>
      </c>
      <c r="S54" s="1">
        <v>450000.0</v>
      </c>
      <c r="T54" s="1">
        <v>475000.0</v>
      </c>
      <c r="U54" s="1">
        <v>500000.0</v>
      </c>
      <c r="V54" s="1"/>
      <c r="W54" s="2" t="str">
        <f>IF('расчет'!R22&lt;50000,50000,'расчет'!R22)</f>
        <v>163883.2139</v>
      </c>
      <c r="X54" s="2" t="str">
        <f t="shared" ref="X54:X70" si="28">IF((W54&gt;475000),475000,(ROUNDDOWN((W54/25000),0))*25000)</f>
        <v>150000</v>
      </c>
      <c r="Y54" s="2" t="str">
        <f t="shared" ref="Y54:Y70" si="29">X54+25000</f>
        <v>175000</v>
      </c>
      <c r="Z54" s="2" t="str">
        <f t="shared" ref="Z54:Z70" si="30">IF((W54&gt;500000),0,(Y54-W54)/25000)</f>
        <v>0.444671445</v>
      </c>
      <c r="AA54" s="2" t="str">
        <f t="shared" ref="AA54:AA70" si="31">1-Z54</f>
        <v>0.555328555</v>
      </c>
      <c r="AB54" s="2" t="str">
        <f>'расчет'!P22</f>
        <v>7.018095386</v>
      </c>
      <c r="AC54" s="1">
        <v>-2.0</v>
      </c>
      <c r="AD54" s="1">
        <v>21.0</v>
      </c>
      <c r="AE54" s="2" t="str">
        <f t="shared" ref="AE54:AE70" si="33">IF(AB54&gt;0,ROUNDDOWN((AB54/0.5),0)*0.5,ROUNDUP((AB54/0.5),0)*0.5)</f>
        <v>7</v>
      </c>
      <c r="AF54" s="2" t="str">
        <f t="shared" ref="AF54:AF70" si="34">AE54+0.5</f>
        <v>7.5</v>
      </c>
      <c r="AG54" s="2" t="str">
        <f t="shared" ref="AG54:AG70" si="35">(AF54-AB54)/0.5</f>
        <v>0.9638092287</v>
      </c>
      <c r="AH54" s="2" t="str">
        <f t="shared" ref="AH54:AH70" si="36">1-AG54</f>
        <v>0.03619077129</v>
      </c>
      <c r="AI54" s="2" t="str">
        <f>VLOOKUP(AE54,B55:U101,(X54/25000),FALSE)</f>
        <v>41.8925942</v>
      </c>
      <c r="AJ54" s="2" t="str">
        <f>VLOOKUP(AF54,B55:U101,(X54/25000),FALSE)</f>
        <v>41.51452282</v>
      </c>
      <c r="AK54" s="2" t="str">
        <f>VLOOKUP(AE54,B55:U101,(Y54/25000),FALSE)</f>
        <v>44.49651972</v>
      </c>
      <c r="AL54" s="2" t="str">
        <f>VLOOKUP(AF54,B55:U101,(Y54/25000),FALSE)</f>
        <v>44.48924731</v>
      </c>
      <c r="AM54" s="2" t="str">
        <f t="shared" ref="AM54:AM70" si="37">AI54*AG54+AJ54*AH54</f>
        <v>41.87891151</v>
      </c>
      <c r="AN54" s="2" t="str">
        <f t="shared" ref="AN54:AN70" si="38">AK54*AG54+AL54*AH54</f>
        <v>44.49625653</v>
      </c>
      <c r="AO54" s="2" t="str">
        <f t="shared" ref="AO54:AO70" si="39">AM54*Z54+AN54*AA54</f>
        <v>43.33239793</v>
      </c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ht="12.75" customHeight="1">
      <c r="A55" s="1"/>
      <c r="B55" s="1">
        <v>-2.0</v>
      </c>
      <c r="C55" s="1">
        <v>1.0</v>
      </c>
      <c r="D55" s="1">
        <v>1.0</v>
      </c>
      <c r="E55" s="1">
        <v>1.0</v>
      </c>
      <c r="F55" s="1">
        <v>1.0</v>
      </c>
      <c r="G55" s="1">
        <v>1.0</v>
      </c>
      <c r="H55" s="1">
        <v>1.0</v>
      </c>
      <c r="I55" s="1">
        <v>1.0</v>
      </c>
      <c r="J55" s="1">
        <v>1.0</v>
      </c>
      <c r="K55" s="1">
        <v>1.0</v>
      </c>
      <c r="L55" s="1">
        <v>1.0</v>
      </c>
      <c r="M55" s="1">
        <v>1.0</v>
      </c>
      <c r="N55" s="1">
        <v>1.022644377</v>
      </c>
      <c r="O55" s="1">
        <v>1.945288754</v>
      </c>
      <c r="P55" s="1">
        <v>2.360204186</v>
      </c>
      <c r="Q55" s="1">
        <v>2.775119617</v>
      </c>
      <c r="R55" s="1">
        <v>3.421531934</v>
      </c>
      <c r="S55" s="1">
        <v>4.067944251</v>
      </c>
      <c r="T55" s="1">
        <v>4.755727495</v>
      </c>
      <c r="U55" s="1">
        <v>5.443510738</v>
      </c>
      <c r="V55" s="1"/>
      <c r="W55" s="2" t="str">
        <f>IF('расчет'!R23&lt;50000,50000,'расчет'!R23)</f>
        <v>161126.0378</v>
      </c>
      <c r="X55" s="2" t="str">
        <f t="shared" si="28"/>
        <v>150000</v>
      </c>
      <c r="Y55" s="2" t="str">
        <f t="shared" si="29"/>
        <v>175000</v>
      </c>
      <c r="Z55" s="2" t="str">
        <f t="shared" si="30"/>
        <v>0.5549584897</v>
      </c>
      <c r="AA55" s="2" t="str">
        <f t="shared" si="31"/>
        <v>0.4450415103</v>
      </c>
      <c r="AB55" s="2" t="str">
        <f>'расчет'!P23</f>
        <v>7.75866912</v>
      </c>
      <c r="AC55" s="2" t="str">
        <f t="shared" ref="AC55:AD55" si="32">AC54</f>
        <v>-2</v>
      </c>
      <c r="AD55" s="2" t="str">
        <f t="shared" si="32"/>
        <v>21</v>
      </c>
      <c r="AE55" s="2" t="str">
        <f t="shared" si="33"/>
        <v>7.5</v>
      </c>
      <c r="AF55" s="2" t="str">
        <f t="shared" si="34"/>
        <v>8</v>
      </c>
      <c r="AG55" s="2" t="str">
        <f t="shared" si="35"/>
        <v>0.4826617596</v>
      </c>
      <c r="AH55" s="2" t="str">
        <f t="shared" si="36"/>
        <v>0.5173382404</v>
      </c>
      <c r="AI55" s="2" t="str">
        <f>VLOOKUP(AE55,B55:U101,(X55/25000),FALSE)</f>
        <v>41.51452282</v>
      </c>
      <c r="AJ55" s="2" t="str">
        <f>VLOOKUP(AF55,B55:U101,(X55/25000),FALSE)</f>
        <v>41.32482043</v>
      </c>
      <c r="AK55" s="2" t="str">
        <f>VLOOKUP(AE55,B55:U101,(Y55/25000),FALSE)</f>
        <v>44.48924731</v>
      </c>
      <c r="AL55" s="2" t="str">
        <f>VLOOKUP(AF55,B55:U101,(Y55/25000),FALSE)</f>
        <v>43.39907679</v>
      </c>
      <c r="AM55" s="2" t="str">
        <f t="shared" si="37"/>
        <v>41.41638252</v>
      </c>
      <c r="AN55" s="2" t="str">
        <f t="shared" si="38"/>
        <v>43.92526041</v>
      </c>
      <c r="AO55" s="2" t="str">
        <f t="shared" si="39"/>
        <v>42.53293733</v>
      </c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ht="12.75" customHeight="1">
      <c r="A56" s="1"/>
      <c r="B56" s="1">
        <v>-1.5</v>
      </c>
      <c r="C56" s="1">
        <v>1.0</v>
      </c>
      <c r="D56" s="1">
        <v>1.0</v>
      </c>
      <c r="E56" s="1">
        <v>1.0</v>
      </c>
      <c r="F56" s="1">
        <v>1.0</v>
      </c>
      <c r="G56" s="1">
        <v>1.0</v>
      </c>
      <c r="H56" s="1">
        <v>1.0</v>
      </c>
      <c r="I56" s="1">
        <v>1.0</v>
      </c>
      <c r="J56" s="1">
        <v>1.0</v>
      </c>
      <c r="K56" s="1">
        <v>1.0</v>
      </c>
      <c r="L56" s="1">
        <v>1.96601976</v>
      </c>
      <c r="M56" s="1">
        <v>3.83203952</v>
      </c>
      <c r="N56" s="1">
        <v>5.408591949</v>
      </c>
      <c r="O56" s="1">
        <v>6.985144377</v>
      </c>
      <c r="P56" s="1">
        <v>7.850211078</v>
      </c>
      <c r="Q56" s="1">
        <v>8.715277778</v>
      </c>
      <c r="R56" s="1">
        <v>9.086996687</v>
      </c>
      <c r="S56" s="1">
        <v>9.458715596</v>
      </c>
      <c r="T56" s="1">
        <v>10.08988911</v>
      </c>
      <c r="U56" s="1">
        <v>10.72106262</v>
      </c>
      <c r="V56" s="1"/>
      <c r="W56" s="2" t="str">
        <f>IF('расчет'!R24&lt;50000,50000,'расчет'!R24)</f>
        <v>158297.851</v>
      </c>
      <c r="X56" s="2" t="str">
        <f t="shared" si="28"/>
        <v>150000</v>
      </c>
      <c r="Y56" s="2" t="str">
        <f t="shared" si="29"/>
        <v>175000</v>
      </c>
      <c r="Z56" s="2" t="str">
        <f t="shared" si="30"/>
        <v>0.6680859584</v>
      </c>
      <c r="AA56" s="2" t="str">
        <f t="shared" si="31"/>
        <v>0.3319140416</v>
      </c>
      <c r="AB56" s="2" t="str">
        <f>'расчет'!P24</f>
        <v>8.407959642</v>
      </c>
      <c r="AC56" s="2" t="str">
        <f t="shared" ref="AC56:AD56" si="40">AC55</f>
        <v>-2</v>
      </c>
      <c r="AD56" s="2" t="str">
        <f t="shared" si="40"/>
        <v>21</v>
      </c>
      <c r="AE56" s="2" t="str">
        <f t="shared" si="33"/>
        <v>8</v>
      </c>
      <c r="AF56" s="2" t="str">
        <f t="shared" si="34"/>
        <v>8.5</v>
      </c>
      <c r="AG56" s="2" t="str">
        <f t="shared" si="35"/>
        <v>0.1840807162</v>
      </c>
      <c r="AH56" s="2" t="str">
        <f t="shared" si="36"/>
        <v>0.8159192838</v>
      </c>
      <c r="AI56" s="2" t="str">
        <f>VLOOKUP(AE56,B55:U101,(X56/25000),FALSE)</f>
        <v>41.32482043</v>
      </c>
      <c r="AJ56" s="2" t="str">
        <f>VLOOKUP(AF56,B55:U101,(X56/25000),FALSE)</f>
        <v>40.12729315</v>
      </c>
      <c r="AK56" s="2" t="str">
        <f>VLOOKUP(AE56,B55:U101,(Y56/25000),FALSE)</f>
        <v>43.39907679</v>
      </c>
      <c r="AL56" s="2" t="str">
        <f>VLOOKUP(AF56,B55:U101,(Y56/25000),FALSE)</f>
        <v>43.46972177</v>
      </c>
      <c r="AM56" s="2" t="str">
        <f t="shared" si="37"/>
        <v>40.34773483</v>
      </c>
      <c r="AN56" s="2" t="str">
        <f t="shared" si="38"/>
        <v>43.45671739</v>
      </c>
      <c r="AO56" s="2" t="str">
        <f t="shared" si="39"/>
        <v>41.3796498</v>
      </c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ht="12.75" customHeight="1">
      <c r="A57" s="1"/>
      <c r="B57" s="1">
        <v>-1.0</v>
      </c>
      <c r="C57" s="1">
        <v>1.0</v>
      </c>
      <c r="D57" s="1">
        <v>1.0</v>
      </c>
      <c r="E57" s="1">
        <v>1.0</v>
      </c>
      <c r="F57" s="1">
        <v>1.0</v>
      </c>
      <c r="G57" s="1">
        <v>0.1</v>
      </c>
      <c r="H57" s="1">
        <v>1.0</v>
      </c>
      <c r="I57" s="1">
        <v>1.028037383</v>
      </c>
      <c r="J57" s="1">
        <v>3.773277951</v>
      </c>
      <c r="K57" s="1">
        <v>6.518518519</v>
      </c>
      <c r="L57" s="1">
        <v>8.107744108</v>
      </c>
      <c r="M57" s="1">
        <v>9.696969697</v>
      </c>
      <c r="N57" s="1">
        <v>10.86098485</v>
      </c>
      <c r="O57" s="1">
        <v>12.025</v>
      </c>
      <c r="P57" s="1">
        <v>12.9647092</v>
      </c>
      <c r="Q57" s="1">
        <v>13.90441839</v>
      </c>
      <c r="R57" s="1">
        <v>14.50489119</v>
      </c>
      <c r="S57" s="1">
        <v>15.10536398</v>
      </c>
      <c r="T57" s="1">
        <v>15.71901466</v>
      </c>
      <c r="U57" s="1">
        <v>16.33266533</v>
      </c>
      <c r="V57" s="1"/>
      <c r="W57" s="2" t="str">
        <f>IF('расчет'!R25&lt;50000,50000,'расчет'!R25)</f>
        <v>155303.7932</v>
      </c>
      <c r="X57" s="2" t="str">
        <f t="shared" si="28"/>
        <v>150000</v>
      </c>
      <c r="Y57" s="2" t="str">
        <f t="shared" si="29"/>
        <v>175000</v>
      </c>
      <c r="Z57" s="2" t="str">
        <f t="shared" si="30"/>
        <v>0.7878482728</v>
      </c>
      <c r="AA57" s="2" t="str">
        <f t="shared" si="31"/>
        <v>0.2121517272</v>
      </c>
      <c r="AB57" s="2" t="str">
        <f>'расчет'!P25</f>
        <v>8.972215942</v>
      </c>
      <c r="AC57" s="2" t="str">
        <f t="shared" ref="AC57:AD57" si="41">AC56</f>
        <v>-2</v>
      </c>
      <c r="AD57" s="2" t="str">
        <f t="shared" si="41"/>
        <v>21</v>
      </c>
      <c r="AE57" s="2" t="str">
        <f t="shared" si="33"/>
        <v>8.5</v>
      </c>
      <c r="AF57" s="2" t="str">
        <f t="shared" si="34"/>
        <v>9</v>
      </c>
      <c r="AG57" s="2" t="str">
        <f t="shared" si="35"/>
        <v>0.05556811655</v>
      </c>
      <c r="AH57" s="2" t="str">
        <f t="shared" si="36"/>
        <v>0.9444318834</v>
      </c>
      <c r="AI57" s="2" t="str">
        <f>VLOOKUP(AE57,B55:U101,(X57/25000),FALSE)</f>
        <v>40.12729315</v>
      </c>
      <c r="AJ57" s="2" t="str">
        <f>VLOOKUP(AF57,B55:U101,(X57/25000),FALSE)</f>
        <v>39.98183799</v>
      </c>
      <c r="AK57" s="2" t="str">
        <f>VLOOKUP(AE57,B55:U101,(Y57/25000),FALSE)</f>
        <v>43.46972177</v>
      </c>
      <c r="AL57" s="2" t="str">
        <f>VLOOKUP(AF57,B55:U101,(Y57/25000),FALSE)</f>
        <v>42.75232919</v>
      </c>
      <c r="AM57" s="2" t="str">
        <f t="shared" si="37"/>
        <v>39.98992066</v>
      </c>
      <c r="AN57" s="2" t="str">
        <f t="shared" si="38"/>
        <v>42.79219334</v>
      </c>
      <c r="AO57" s="2" t="str">
        <f t="shared" si="39"/>
        <v>40.58442765</v>
      </c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ht="12.75" customHeight="1">
      <c r="A58" s="1"/>
      <c r="B58" s="1">
        <v>-0.5</v>
      </c>
      <c r="C58" s="1">
        <v>1.0</v>
      </c>
      <c r="D58" s="1">
        <v>1.0</v>
      </c>
      <c r="E58" s="1">
        <v>1.0</v>
      </c>
      <c r="F58" s="1">
        <v>1.0</v>
      </c>
      <c r="G58" s="1">
        <v>1.0</v>
      </c>
      <c r="H58" s="1">
        <v>4.385581649</v>
      </c>
      <c r="I58" s="1">
        <v>6.414752116</v>
      </c>
      <c r="J58" s="1">
        <v>9.001367473</v>
      </c>
      <c r="K58" s="1">
        <v>11.58798283</v>
      </c>
      <c r="L58" s="1">
        <v>13.58846745</v>
      </c>
      <c r="M58" s="1">
        <v>15.58895207</v>
      </c>
      <c r="N58" s="1">
        <v>16.45596136</v>
      </c>
      <c r="O58" s="1">
        <v>17.32297064</v>
      </c>
      <c r="P58" s="1">
        <v>18.26019381</v>
      </c>
      <c r="Q58" s="1">
        <v>19.19741697</v>
      </c>
      <c r="R58" s="1">
        <v>19.87241328</v>
      </c>
      <c r="S58" s="1">
        <v>20.54740958</v>
      </c>
      <c r="T58" s="1">
        <v>21.13347961</v>
      </c>
      <c r="U58" s="1">
        <v>21.71954964</v>
      </c>
      <c r="V58" s="1"/>
      <c r="W58" s="2" t="str">
        <f>IF('расчет'!R26&lt;50000,50000,'расчет'!R26)</f>
        <v>152048.384</v>
      </c>
      <c r="X58" s="2" t="str">
        <f t="shared" si="28"/>
        <v>150000</v>
      </c>
      <c r="Y58" s="2" t="str">
        <f t="shared" si="29"/>
        <v>175000</v>
      </c>
      <c r="Z58" s="2" t="str">
        <f t="shared" si="30"/>
        <v>0.9180646404</v>
      </c>
      <c r="AA58" s="2" t="str">
        <f t="shared" si="31"/>
        <v>0.08193535957</v>
      </c>
      <c r="AB58" s="2" t="str">
        <f>'расчет'!P26</f>
        <v>9.459475009</v>
      </c>
      <c r="AC58" s="2" t="str">
        <f t="shared" ref="AC58:AD58" si="42">AC57</f>
        <v>-2</v>
      </c>
      <c r="AD58" s="2" t="str">
        <f t="shared" si="42"/>
        <v>21</v>
      </c>
      <c r="AE58" s="2" t="str">
        <f t="shared" si="33"/>
        <v>9</v>
      </c>
      <c r="AF58" s="2" t="str">
        <f t="shared" si="34"/>
        <v>9.5</v>
      </c>
      <c r="AG58" s="2" t="str">
        <f t="shared" si="35"/>
        <v>0.08104998293</v>
      </c>
      <c r="AH58" s="2" t="str">
        <f t="shared" si="36"/>
        <v>0.9189500171</v>
      </c>
      <c r="AI58" s="2" t="str">
        <f>VLOOKUP(AE58,B55:U101,(X58/25000),FALSE)</f>
        <v>39.98183799</v>
      </c>
      <c r="AJ58" s="2" t="str">
        <f>VLOOKUP(AF58,B55:U101,(X58/25000),FALSE)</f>
        <v>38.90410959</v>
      </c>
      <c r="AK58" s="2" t="str">
        <f>VLOOKUP(AE58,B55:U101,(Y58/25000),FALSE)</f>
        <v>42.75232919</v>
      </c>
      <c r="AL58" s="2" t="str">
        <f>VLOOKUP(AF58,B55:U101,(Y58/25000),FALSE)</f>
        <v>42.50944822</v>
      </c>
      <c r="AM58" s="2" t="str">
        <f t="shared" si="37"/>
        <v>38.99145946</v>
      </c>
      <c r="AN58" s="2" t="str">
        <f t="shared" si="38"/>
        <v>42.52913372</v>
      </c>
      <c r="AO58" s="2" t="str">
        <f t="shared" si="39"/>
        <v>39.28132007</v>
      </c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ht="12.75" customHeight="1">
      <c r="A59" s="1"/>
      <c r="B59" s="1">
        <v>0.0</v>
      </c>
      <c r="C59" s="1">
        <v>1.0</v>
      </c>
      <c r="D59" s="1">
        <v>1.0</v>
      </c>
      <c r="E59" s="1">
        <v>1.0</v>
      </c>
      <c r="F59" s="1">
        <v>1.046207498</v>
      </c>
      <c r="G59" s="1">
        <v>4.408163265</v>
      </c>
      <c r="H59" s="1">
        <v>8.48115942</v>
      </c>
      <c r="I59" s="1">
        <v>12.64299803</v>
      </c>
      <c r="J59" s="1">
        <v>14.78274808</v>
      </c>
      <c r="K59" s="1">
        <v>16.92249812</v>
      </c>
      <c r="L59" s="1">
        <v>18.91234518</v>
      </c>
      <c r="M59" s="1">
        <v>20.90219224</v>
      </c>
      <c r="N59" s="1">
        <v>22.02525445</v>
      </c>
      <c r="O59" s="1">
        <v>23.14831665</v>
      </c>
      <c r="P59" s="1">
        <v>23.73847758</v>
      </c>
      <c r="Q59" s="1">
        <v>24.3286385</v>
      </c>
      <c r="R59" s="1">
        <v>25.12764928</v>
      </c>
      <c r="S59" s="1">
        <v>25.92666006</v>
      </c>
      <c r="T59" s="1">
        <v>26.44519532</v>
      </c>
      <c r="U59" s="1">
        <v>26.96373057</v>
      </c>
      <c r="V59" s="1"/>
      <c r="W59" s="2" t="str">
        <f>IF('расчет'!R27&lt;50000,50000,'расчет'!R27)</f>
        <v>148436.2342</v>
      </c>
      <c r="X59" s="2" t="str">
        <f t="shared" si="28"/>
        <v>125000</v>
      </c>
      <c r="Y59" s="2" t="str">
        <f t="shared" si="29"/>
        <v>150000</v>
      </c>
      <c r="Z59" s="2" t="str">
        <f t="shared" si="30"/>
        <v>0.06255063385</v>
      </c>
      <c r="AA59" s="2" t="str">
        <f t="shared" si="31"/>
        <v>0.9374493661</v>
      </c>
      <c r="AB59" s="2" t="str">
        <f>'расчет'!P27</f>
        <v>9.880167544</v>
      </c>
      <c r="AC59" s="2" t="str">
        <f t="shared" ref="AC59:AD59" si="43">AC58</f>
        <v>-2</v>
      </c>
      <c r="AD59" s="2" t="str">
        <f t="shared" si="43"/>
        <v>21</v>
      </c>
      <c r="AE59" s="2" t="str">
        <f t="shared" si="33"/>
        <v>9.5</v>
      </c>
      <c r="AF59" s="2" t="str">
        <f t="shared" si="34"/>
        <v>10</v>
      </c>
      <c r="AG59" s="2" t="str">
        <f t="shared" si="35"/>
        <v>0.2396649114</v>
      </c>
      <c r="AH59" s="2" t="str">
        <f t="shared" si="36"/>
        <v>0.7603350886</v>
      </c>
      <c r="AI59" s="2" t="str">
        <f>VLOOKUP(AE59,B55:U101,(X59/25000),FALSE)</f>
        <v>35.44090056</v>
      </c>
      <c r="AJ59" s="2" t="str">
        <f>VLOOKUP(AF59,B55:U101,(X59/25000),FALSE)</f>
        <v>34.1622575</v>
      </c>
      <c r="AK59" s="2" t="str">
        <f>VLOOKUP(AE59,B55:U101,(Y59/25000),FALSE)</f>
        <v>38.90410959</v>
      </c>
      <c r="AL59" s="2" t="str">
        <f>VLOOKUP(AF59,B55:U101,(Y59/25000),FALSE)</f>
        <v>38.69986631</v>
      </c>
      <c r="AM59" s="2" t="str">
        <f t="shared" si="37"/>
        <v>34.46870338</v>
      </c>
      <c r="AN59" s="2" t="str">
        <f t="shared" si="38"/>
        <v>38.74881626</v>
      </c>
      <c r="AO59" s="2" t="str">
        <f t="shared" si="39"/>
        <v>38.48109248</v>
      </c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ht="12.75" customHeight="1">
      <c r="A60" s="1"/>
      <c r="B60" s="1">
        <v>0.5</v>
      </c>
      <c r="C60" s="1">
        <v>1.0</v>
      </c>
      <c r="D60" s="1">
        <v>1.0</v>
      </c>
      <c r="E60" s="1">
        <v>1.326693227</v>
      </c>
      <c r="F60" s="1">
        <v>5.585156993</v>
      </c>
      <c r="G60" s="1">
        <v>11.02578475</v>
      </c>
      <c r="H60" s="1">
        <v>13.8776797</v>
      </c>
      <c r="I60" s="1">
        <v>17.66943292</v>
      </c>
      <c r="J60" s="1">
        <v>20.18779893</v>
      </c>
      <c r="K60" s="1">
        <v>22.70616493</v>
      </c>
      <c r="L60" s="1">
        <v>24.24781931</v>
      </c>
      <c r="M60" s="1">
        <v>25.78947368</v>
      </c>
      <c r="N60" s="1">
        <v>27.0675993</v>
      </c>
      <c r="O60" s="1">
        <v>28.34572491</v>
      </c>
      <c r="P60" s="1">
        <v>29.16797965</v>
      </c>
      <c r="Q60" s="1">
        <v>29.99023438</v>
      </c>
      <c r="R60" s="1">
        <v>30.3035749</v>
      </c>
      <c r="S60" s="1">
        <v>30.61691542</v>
      </c>
      <c r="T60" s="1">
        <v>31.07808581</v>
      </c>
      <c r="U60" s="1">
        <v>31.5392562</v>
      </c>
      <c r="V60" s="1"/>
      <c r="W60" s="2" t="str">
        <f>IF('расчет'!R28&lt;50000,50000,'расчет'!R28)</f>
        <v>144372.9701</v>
      </c>
      <c r="X60" s="2" t="str">
        <f t="shared" si="28"/>
        <v>125000</v>
      </c>
      <c r="Y60" s="2" t="str">
        <f t="shared" si="29"/>
        <v>150000</v>
      </c>
      <c r="Z60" s="2" t="str">
        <f t="shared" si="30"/>
        <v>0.2250811965</v>
      </c>
      <c r="AA60" s="2" t="str">
        <f t="shared" si="31"/>
        <v>0.7749188035</v>
      </c>
      <c r="AB60" s="2" t="str">
        <f>'расчет'!P28</f>
        <v>10.2479629</v>
      </c>
      <c r="AC60" s="2" t="str">
        <f t="shared" ref="AC60:AD60" si="44">AC59</f>
        <v>-2</v>
      </c>
      <c r="AD60" s="2" t="str">
        <f t="shared" si="44"/>
        <v>21</v>
      </c>
      <c r="AE60" s="2" t="str">
        <f t="shared" si="33"/>
        <v>10</v>
      </c>
      <c r="AF60" s="2" t="str">
        <f t="shared" si="34"/>
        <v>10.5</v>
      </c>
      <c r="AG60" s="2" t="str">
        <f t="shared" si="35"/>
        <v>0.5040741949</v>
      </c>
      <c r="AH60" s="2" t="str">
        <f t="shared" si="36"/>
        <v>0.4959258051</v>
      </c>
      <c r="AI60" s="2" t="str">
        <f>VLOOKUP(AE60,B55:U101,(X60/25000),FALSE)</f>
        <v>34.1622575</v>
      </c>
      <c r="AJ60" s="2" t="str">
        <f>VLOOKUP(AF60,B55:U101,(X60/25000),FALSE)</f>
        <v>33.70972341</v>
      </c>
      <c r="AK60" s="2" t="str">
        <f>VLOOKUP(AE60,B55:U101,(Y60/25000),FALSE)</f>
        <v>38.69986631</v>
      </c>
      <c r="AL60" s="2" t="str">
        <f>VLOOKUP(AF60,B55:U101,(Y60/25000),FALSE)</f>
        <v>38.07348243</v>
      </c>
      <c r="AM60" s="2" t="str">
        <f t="shared" si="37"/>
        <v>33.93783417</v>
      </c>
      <c r="AN60" s="2" t="str">
        <f t="shared" si="38"/>
        <v>38.38922638</v>
      </c>
      <c r="AO60" s="2" t="str">
        <f t="shared" si="39"/>
        <v>37.38730169</v>
      </c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ht="12.75" customHeight="1">
      <c r="A61" s="1"/>
      <c r="B61" s="1">
        <v>1.0</v>
      </c>
      <c r="C61" s="1">
        <v>1.0</v>
      </c>
      <c r="D61" s="1">
        <v>1.0</v>
      </c>
      <c r="E61" s="1">
        <v>5.548469388</v>
      </c>
      <c r="F61" s="1">
        <v>9.400201613</v>
      </c>
      <c r="G61" s="1">
        <v>16.07186358</v>
      </c>
      <c r="H61" s="1">
        <v>19.90508475</v>
      </c>
      <c r="I61" s="1">
        <v>23.80774963</v>
      </c>
      <c r="J61" s="1">
        <v>26.18780488</v>
      </c>
      <c r="K61" s="1">
        <v>28.56786012</v>
      </c>
      <c r="L61" s="1">
        <v>29.95597307</v>
      </c>
      <c r="M61" s="1">
        <v>31.34408602</v>
      </c>
      <c r="N61" s="1">
        <v>32.14814423</v>
      </c>
      <c r="O61" s="1">
        <v>32.95220244</v>
      </c>
      <c r="P61" s="1">
        <v>33.57003469</v>
      </c>
      <c r="Q61" s="1">
        <v>34.18786693</v>
      </c>
      <c r="R61" s="1">
        <v>34.4332909</v>
      </c>
      <c r="S61" s="1">
        <v>34.67871486</v>
      </c>
      <c r="T61" s="1">
        <v>34.4700107</v>
      </c>
      <c r="U61" s="1">
        <v>34.26130653</v>
      </c>
      <c r="V61" s="1"/>
      <c r="W61" s="2" t="str">
        <f>IF('расчет'!R29&lt;50000,50000,'расчет'!R29)</f>
        <v>139766.3665</v>
      </c>
      <c r="X61" s="2" t="str">
        <f t="shared" si="28"/>
        <v>125000</v>
      </c>
      <c r="Y61" s="2" t="str">
        <f t="shared" si="29"/>
        <v>150000</v>
      </c>
      <c r="Z61" s="2" t="str">
        <f t="shared" si="30"/>
        <v>0.4093453385</v>
      </c>
      <c r="AA61" s="2" t="str">
        <f t="shared" si="31"/>
        <v>0.5906546615</v>
      </c>
      <c r="AB61" s="2" t="str">
        <f>'расчет'!P29</f>
        <v>10.5809717</v>
      </c>
      <c r="AC61" s="2" t="str">
        <f t="shared" ref="AC61:AD61" si="45">AC60</f>
        <v>-2</v>
      </c>
      <c r="AD61" s="2" t="str">
        <f t="shared" si="45"/>
        <v>21</v>
      </c>
      <c r="AE61" s="2" t="str">
        <f t="shared" si="33"/>
        <v>10.5</v>
      </c>
      <c r="AF61" s="2" t="str">
        <f t="shared" si="34"/>
        <v>11</v>
      </c>
      <c r="AG61" s="2" t="str">
        <f t="shared" si="35"/>
        <v>0.8380565967</v>
      </c>
      <c r="AH61" s="2" t="str">
        <f t="shared" si="36"/>
        <v>0.1619434033</v>
      </c>
      <c r="AI61" s="2" t="str">
        <f>VLOOKUP(AE61,B55:U101,(X61/25000),FALSE)</f>
        <v>33.70972341</v>
      </c>
      <c r="AJ61" s="2" t="str">
        <f>VLOOKUP(AF61,B55:U101,(X61/25000),FALSE)</f>
        <v>32.81258476</v>
      </c>
      <c r="AK61" s="2" t="str">
        <f>VLOOKUP(AE61,B55:U101,(Y61/25000),FALSE)</f>
        <v>38.07348243</v>
      </c>
      <c r="AL61" s="2" t="str">
        <f>VLOOKUP(AF61,B55:U101,(Y61/25000),FALSE)</f>
        <v>37.48598131</v>
      </c>
      <c r="AM61" s="2" t="str">
        <f t="shared" si="37"/>
        <v>33.56443772</v>
      </c>
      <c r="AN61" s="2" t="str">
        <f t="shared" si="38"/>
        <v>37.9783405</v>
      </c>
      <c r="AO61" s="2" t="str">
        <f t="shared" si="39"/>
        <v>36.17152997</v>
      </c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ht="12.75" customHeight="1">
      <c r="A62" s="1"/>
      <c r="B62" s="1">
        <v>1.5</v>
      </c>
      <c r="C62" s="1">
        <v>1.0</v>
      </c>
      <c r="D62" s="1">
        <v>4.068413392</v>
      </c>
      <c r="E62" s="1">
        <v>9.408014572</v>
      </c>
      <c r="F62" s="1">
        <v>15.08096036</v>
      </c>
      <c r="G62" s="1">
        <v>22.20316623</v>
      </c>
      <c r="H62" s="1">
        <v>25.79825835</v>
      </c>
      <c r="I62" s="1">
        <v>29.03651904</v>
      </c>
      <c r="J62" s="1">
        <v>31.08896232</v>
      </c>
      <c r="K62" s="1">
        <v>33.14140559</v>
      </c>
      <c r="L62" s="1">
        <v>34.26023348</v>
      </c>
      <c r="M62" s="1">
        <v>35.37906137</v>
      </c>
      <c r="N62" s="1">
        <v>35.52301735</v>
      </c>
      <c r="O62" s="1">
        <v>35.66697332</v>
      </c>
      <c r="P62" s="1">
        <v>35.57057586</v>
      </c>
      <c r="Q62" s="1">
        <v>35.4741784</v>
      </c>
      <c r="R62" s="1">
        <v>35.09754332</v>
      </c>
      <c r="S62" s="1">
        <v>34.72090823</v>
      </c>
      <c r="T62" s="1">
        <v>34.16666296</v>
      </c>
      <c r="U62" s="1">
        <v>33.61241769</v>
      </c>
      <c r="V62" s="1"/>
      <c r="W62" s="2" t="str">
        <f>IF('расчет'!R30&lt;50000,50000,'расчет'!R30)</f>
        <v>134527.6688</v>
      </c>
      <c r="X62" s="2" t="str">
        <f t="shared" si="28"/>
        <v>125000</v>
      </c>
      <c r="Y62" s="2" t="str">
        <f t="shared" si="29"/>
        <v>150000</v>
      </c>
      <c r="Z62" s="2" t="str">
        <f t="shared" si="30"/>
        <v>0.6188932465</v>
      </c>
      <c r="AA62" s="2" t="str">
        <f t="shared" si="31"/>
        <v>0.3811067535</v>
      </c>
      <c r="AB62" s="2" t="str">
        <f>'расчет'!P30</f>
        <v>10.90349584</v>
      </c>
      <c r="AC62" s="2" t="str">
        <f t="shared" ref="AC62:AD62" si="46">AC61</f>
        <v>-2</v>
      </c>
      <c r="AD62" s="2" t="str">
        <f t="shared" si="46"/>
        <v>21</v>
      </c>
      <c r="AE62" s="2" t="str">
        <f t="shared" si="33"/>
        <v>10.5</v>
      </c>
      <c r="AF62" s="2" t="str">
        <f t="shared" si="34"/>
        <v>11</v>
      </c>
      <c r="AG62" s="2" t="str">
        <f t="shared" si="35"/>
        <v>0.1930083163</v>
      </c>
      <c r="AH62" s="2" t="str">
        <f t="shared" si="36"/>
        <v>0.8069916837</v>
      </c>
      <c r="AI62" s="2" t="str">
        <f>VLOOKUP(AE62,B55:U101,(X62/25000),FALSE)</f>
        <v>33.70972341</v>
      </c>
      <c r="AJ62" s="2" t="str">
        <f>VLOOKUP(AF62,B55:U101,(X62/25000),FALSE)</f>
        <v>32.81258476</v>
      </c>
      <c r="AK62" s="2" t="str">
        <f>VLOOKUP(AE62,B55:U101,(Y62/25000),FALSE)</f>
        <v>38.07348243</v>
      </c>
      <c r="AL62" s="2" t="str">
        <f>VLOOKUP(AF62,B55:U101,(Y62/25000),FALSE)</f>
        <v>37.48598131</v>
      </c>
      <c r="AM62" s="2" t="str">
        <f t="shared" si="37"/>
        <v>32.98573998</v>
      </c>
      <c r="AN62" s="2" t="str">
        <f t="shared" si="38"/>
        <v>37.59937391</v>
      </c>
      <c r="AO62" s="2" t="str">
        <f t="shared" si="39"/>
        <v>34.74402703</v>
      </c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ht="12.75" customHeight="1">
      <c r="A63" s="1"/>
      <c r="B63" s="1">
        <v>2.0</v>
      </c>
      <c r="C63" s="1">
        <v>3.840210168</v>
      </c>
      <c r="D63" s="1">
        <v>8.062263602</v>
      </c>
      <c r="E63" s="1">
        <v>15.17708333</v>
      </c>
      <c r="F63" s="1">
        <v>20.34451768</v>
      </c>
      <c r="G63" s="1">
        <v>27.34132581</v>
      </c>
      <c r="H63" s="1">
        <v>31.5737204</v>
      </c>
      <c r="I63" s="1">
        <v>34.32956381</v>
      </c>
      <c r="J63" s="1">
        <v>35.29987112</v>
      </c>
      <c r="K63" s="1">
        <v>36.27017842</v>
      </c>
      <c r="L63" s="1">
        <v>35.73321208</v>
      </c>
      <c r="M63" s="1">
        <v>35.19624573</v>
      </c>
      <c r="N63" s="1">
        <v>34.37929335</v>
      </c>
      <c r="O63" s="1">
        <v>33.56234097</v>
      </c>
      <c r="P63" s="1">
        <v>32.90763615</v>
      </c>
      <c r="Q63" s="1">
        <v>32.25293132</v>
      </c>
      <c r="R63" s="1">
        <v>32.13997918</v>
      </c>
      <c r="S63" s="1">
        <v>32.02702703</v>
      </c>
      <c r="T63" s="1">
        <v>32.12035112</v>
      </c>
      <c r="U63" s="1">
        <v>32.21367521</v>
      </c>
      <c r="V63" s="1"/>
      <c r="W63" s="2" t="str">
        <f>IF('расчет'!R31&lt;50000,50000,'расчет'!R31)</f>
        <v>128573.0727</v>
      </c>
      <c r="X63" s="2" t="str">
        <f t="shared" si="28"/>
        <v>125000</v>
      </c>
      <c r="Y63" s="2" t="str">
        <f t="shared" si="29"/>
        <v>150000</v>
      </c>
      <c r="Z63" s="2" t="str">
        <f t="shared" si="30"/>
        <v>0.8570770934</v>
      </c>
      <c r="AA63" s="2" t="str">
        <f t="shared" si="31"/>
        <v>0.1429229066</v>
      </c>
      <c r="AB63" s="2" t="str">
        <f>'расчет'!P31</f>
        <v>11.24863784</v>
      </c>
      <c r="AC63" s="2" t="str">
        <f t="shared" ref="AC63:AD63" si="47">AC62</f>
        <v>-2</v>
      </c>
      <c r="AD63" s="2" t="str">
        <f t="shared" si="47"/>
        <v>21</v>
      </c>
      <c r="AE63" s="2" t="str">
        <f t="shared" si="33"/>
        <v>11</v>
      </c>
      <c r="AF63" s="2" t="str">
        <f t="shared" si="34"/>
        <v>11.5</v>
      </c>
      <c r="AG63" s="2" t="str">
        <f t="shared" si="35"/>
        <v>0.5027243149</v>
      </c>
      <c r="AH63" s="2" t="str">
        <f t="shared" si="36"/>
        <v>0.4972756851</v>
      </c>
      <c r="AI63" s="2" t="str">
        <f>VLOOKUP(AE63,B55:U101,(X63/25000),FALSE)</f>
        <v>32.81258476</v>
      </c>
      <c r="AJ63" s="2" t="str">
        <f>VLOOKUP(AF63,B55:U101,(X63/25000),FALSE)</f>
        <v>31.85030097</v>
      </c>
      <c r="AK63" s="2" t="str">
        <f>VLOOKUP(AE63,B55:U101,(Y63/25000),FALSE)</f>
        <v>37.48598131</v>
      </c>
      <c r="AL63" s="2" t="str">
        <f>VLOOKUP(AF63,B55:U101,(Y63/25000),FALSE)</f>
        <v>37.48625535</v>
      </c>
      <c r="AM63" s="2" t="str">
        <f t="shared" si="37"/>
        <v>32.33406443</v>
      </c>
      <c r="AN63" s="2" t="str">
        <f t="shared" si="38"/>
        <v>37.48611758</v>
      </c>
      <c r="AO63" s="2" t="str">
        <f t="shared" si="39"/>
        <v>33.07041084</v>
      </c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ht="12.75" customHeight="1">
      <c r="A64" s="1"/>
      <c r="B64" s="1">
        <v>2.5</v>
      </c>
      <c r="C64" s="1">
        <v>9.749690977</v>
      </c>
      <c r="D64" s="1">
        <v>27.33366435</v>
      </c>
      <c r="E64" s="1">
        <v>40.61822817</v>
      </c>
      <c r="F64" s="1">
        <v>30.10977444</v>
      </c>
      <c r="G64" s="1">
        <v>33.10150376</v>
      </c>
      <c r="H64" s="1">
        <v>35.5625</v>
      </c>
      <c r="I64" s="1">
        <v>34.91064491</v>
      </c>
      <c r="J64" s="1">
        <v>33.8123561</v>
      </c>
      <c r="K64" s="1">
        <v>32.71406728</v>
      </c>
      <c r="L64" s="1">
        <v>33.17234153</v>
      </c>
      <c r="M64" s="1">
        <v>33.63061577</v>
      </c>
      <c r="N64" s="1">
        <v>33.00578408</v>
      </c>
      <c r="O64" s="1">
        <v>32.38095238</v>
      </c>
      <c r="P64" s="1">
        <v>32.65989637</v>
      </c>
      <c r="Q64" s="1">
        <v>32.93884035</v>
      </c>
      <c r="R64" s="1">
        <v>33.3428995</v>
      </c>
      <c r="S64" s="1">
        <v>33.74695864</v>
      </c>
      <c r="T64" s="1">
        <v>34.09202237</v>
      </c>
      <c r="U64" s="1">
        <v>34.43708609</v>
      </c>
      <c r="V64" s="1"/>
      <c r="W64" s="2" t="str">
        <f>IF('расчет'!R32&lt;50000,50000,'расчет'!R32)</f>
        <v>121825.3118</v>
      </c>
      <c r="X64" s="2" t="str">
        <f t="shared" si="28"/>
        <v>100000</v>
      </c>
      <c r="Y64" s="2" t="str">
        <f t="shared" si="29"/>
        <v>125000</v>
      </c>
      <c r="Z64" s="2" t="str">
        <f t="shared" si="30"/>
        <v>0.1269875283</v>
      </c>
      <c r="AA64" s="2" t="str">
        <f t="shared" si="31"/>
        <v>0.8730124717</v>
      </c>
      <c r="AB64" s="2" t="str">
        <f>'расчет'!P32</f>
        <v>11.66229685</v>
      </c>
      <c r="AC64" s="2" t="str">
        <f t="shared" ref="AC64:AD64" si="48">AC63</f>
        <v>-2</v>
      </c>
      <c r="AD64" s="2" t="str">
        <f t="shared" si="48"/>
        <v>21</v>
      </c>
      <c r="AE64" s="2" t="str">
        <f t="shared" si="33"/>
        <v>11.5</v>
      </c>
      <c r="AF64" s="2" t="str">
        <f t="shared" si="34"/>
        <v>12</v>
      </c>
      <c r="AG64" s="2" t="str">
        <f t="shared" si="35"/>
        <v>0.6754062992</v>
      </c>
      <c r="AH64" s="2" t="str">
        <f t="shared" si="36"/>
        <v>0.3245937008</v>
      </c>
      <c r="AI64" s="2" t="str">
        <f>VLOOKUP(AE64,B55:U101,(X64/25000),FALSE)</f>
        <v>26.1966645</v>
      </c>
      <c r="AJ64" s="2" t="str">
        <f>VLOOKUP(AF64,B55:U101,(X64/25000),FALSE)</f>
        <v>23.42215989</v>
      </c>
      <c r="AK64" s="2" t="str">
        <f>VLOOKUP(AE64,B55:U101,(Y64/25000),FALSE)</f>
        <v>31.85030097</v>
      </c>
      <c r="AL64" s="2" t="str">
        <f>VLOOKUP(AF64,B55:U101,(Y64/25000),FALSE)</f>
        <v>31.51921132</v>
      </c>
      <c r="AM64" s="2" t="str">
        <f t="shared" si="37"/>
        <v>25.29607778</v>
      </c>
      <c r="AN64" s="2" t="str">
        <f t="shared" si="38"/>
        <v>31.74283136</v>
      </c>
      <c r="AO64" s="2" t="str">
        <f t="shared" si="39"/>
        <v>30.92417405</v>
      </c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ht="12.75" customHeight="1">
      <c r="A65" s="1"/>
      <c r="B65" s="1">
        <v>3.0</v>
      </c>
      <c r="C65" s="1">
        <v>17.0592434</v>
      </c>
      <c r="D65" s="1">
        <v>34.74057892</v>
      </c>
      <c r="E65" s="1">
        <v>37.80924855</v>
      </c>
      <c r="F65" s="1">
        <v>39.95169082</v>
      </c>
      <c r="G65" s="1">
        <v>38.51790451</v>
      </c>
      <c r="H65" s="1">
        <v>36.77205882</v>
      </c>
      <c r="I65" s="1">
        <v>34.5834849</v>
      </c>
      <c r="J65" s="1">
        <v>33.51204483</v>
      </c>
      <c r="K65" s="1">
        <v>32.44060475</v>
      </c>
      <c r="L65" s="1">
        <v>32.89559824</v>
      </c>
      <c r="M65" s="1">
        <v>33.35059172</v>
      </c>
      <c r="N65" s="1">
        <v>33.83059889</v>
      </c>
      <c r="O65" s="1">
        <v>34.31060606</v>
      </c>
      <c r="P65" s="1">
        <v>34.78360785</v>
      </c>
      <c r="Q65" s="1">
        <v>35.25660964</v>
      </c>
      <c r="R65" s="1">
        <v>35.76672964</v>
      </c>
      <c r="S65" s="1">
        <v>36.27684964</v>
      </c>
      <c r="T65" s="1">
        <v>36.77774245</v>
      </c>
      <c r="U65" s="1">
        <v>37.27863526</v>
      </c>
      <c r="V65" s="1"/>
      <c r="W65" s="2" t="str">
        <f>IF('расчет'!R33&lt;50000,50000,'расчет'!R33)</f>
        <v>114215.2829</v>
      </c>
      <c r="X65" s="2" t="str">
        <f t="shared" si="28"/>
        <v>100000</v>
      </c>
      <c r="Y65" s="2" t="str">
        <f t="shared" si="29"/>
        <v>125000</v>
      </c>
      <c r="Z65" s="2" t="str">
        <f t="shared" si="30"/>
        <v>0.4313886844</v>
      </c>
      <c r="AA65" s="2" t="str">
        <f t="shared" si="31"/>
        <v>0.5686113156</v>
      </c>
      <c r="AB65" s="2" t="str">
        <f>'расчет'!P33</f>
        <v>12.20946957</v>
      </c>
      <c r="AC65" s="2" t="str">
        <f t="shared" ref="AC65:AD65" si="49">AC64</f>
        <v>-2</v>
      </c>
      <c r="AD65" s="2" t="str">
        <f t="shared" si="49"/>
        <v>21</v>
      </c>
      <c r="AE65" s="2" t="str">
        <f t="shared" si="33"/>
        <v>12</v>
      </c>
      <c r="AF65" s="2" t="str">
        <f t="shared" si="34"/>
        <v>12.5</v>
      </c>
      <c r="AG65" s="2" t="str">
        <f t="shared" si="35"/>
        <v>0.5810608514</v>
      </c>
      <c r="AH65" s="2" t="str">
        <f t="shared" si="36"/>
        <v>0.4189391486</v>
      </c>
      <c r="AI65" s="2" t="str">
        <f>VLOOKUP(AE65,B55:U101,(X65/25000),FALSE)</f>
        <v>23.42215989</v>
      </c>
      <c r="AJ65" s="2" t="str">
        <f>VLOOKUP(AF65,B55:U101,(X65/25000),FALSE)</f>
        <v>21.31230166</v>
      </c>
      <c r="AK65" s="2" t="str">
        <f>VLOOKUP(AE65,B55:U101,(Y65/25000),FALSE)</f>
        <v>31.51921132</v>
      </c>
      <c r="AL65" s="2" t="str">
        <f>VLOOKUP(AF65,B55:U101,(Y65/25000),FALSE)</f>
        <v>29.4919722</v>
      </c>
      <c r="AM65" s="2" t="str">
        <f t="shared" si="37"/>
        <v>22.53825768</v>
      </c>
      <c r="AN65" s="2" t="str">
        <f t="shared" si="38"/>
        <v>30.66992149</v>
      </c>
      <c r="AO65" s="2" t="str">
        <f t="shared" si="39"/>
        <v>27.16201374</v>
      </c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ht="12.75" customHeight="1">
      <c r="A66" s="1"/>
      <c r="B66" s="1">
        <v>3.5</v>
      </c>
      <c r="C66" s="1">
        <v>28.21816601</v>
      </c>
      <c r="D66" s="1">
        <v>33.93847705</v>
      </c>
      <c r="E66" s="1">
        <v>37.27470141</v>
      </c>
      <c r="F66" s="1">
        <v>39.75301551</v>
      </c>
      <c r="G66" s="1">
        <v>41.81872749</v>
      </c>
      <c r="H66" s="1">
        <v>40.93198992</v>
      </c>
      <c r="I66" s="1">
        <v>39.98636673</v>
      </c>
      <c r="J66" s="1">
        <v>39.24636238</v>
      </c>
      <c r="K66" s="1">
        <v>38.50635803</v>
      </c>
      <c r="L66" s="1">
        <v>36.94854805</v>
      </c>
      <c r="M66" s="1">
        <v>35.39073806</v>
      </c>
      <c r="N66" s="1">
        <v>35.77143993</v>
      </c>
      <c r="O66" s="1">
        <v>36.1521418</v>
      </c>
      <c r="P66" s="1">
        <v>36.96156709</v>
      </c>
      <c r="Q66" s="1">
        <v>37.77099237</v>
      </c>
      <c r="R66" s="1">
        <v>38.35649932</v>
      </c>
      <c r="S66" s="1">
        <v>38.94200627</v>
      </c>
      <c r="T66" s="1">
        <v>39.28007235</v>
      </c>
      <c r="U66" s="1">
        <v>39.61813842</v>
      </c>
      <c r="V66" s="1"/>
      <c r="W66" s="2" t="str">
        <f>IF('расчет'!R34&lt;50000,50000,'расчет'!R34)</f>
        <v>105683.6102</v>
      </c>
      <c r="X66" s="2" t="str">
        <f t="shared" si="28"/>
        <v>100000</v>
      </c>
      <c r="Y66" s="2" t="str">
        <f t="shared" si="29"/>
        <v>125000</v>
      </c>
      <c r="Z66" s="2" t="str">
        <f t="shared" si="30"/>
        <v>0.7726555915</v>
      </c>
      <c r="AA66" s="2" t="str">
        <f t="shared" si="31"/>
        <v>0.2273444085</v>
      </c>
      <c r="AB66" s="2" t="str">
        <f>'расчет'!P34</f>
        <v>12.98450331</v>
      </c>
      <c r="AC66" s="2" t="str">
        <f t="shared" ref="AC66:AD66" si="50">AC65</f>
        <v>-2</v>
      </c>
      <c r="AD66" s="2" t="str">
        <f t="shared" si="50"/>
        <v>21</v>
      </c>
      <c r="AE66" s="2" t="str">
        <f t="shared" si="33"/>
        <v>12.5</v>
      </c>
      <c r="AF66" s="2" t="str">
        <f t="shared" si="34"/>
        <v>13</v>
      </c>
      <c r="AG66" s="2" t="str">
        <f t="shared" si="35"/>
        <v>0.03099337527</v>
      </c>
      <c r="AH66" s="2" t="str">
        <f t="shared" si="36"/>
        <v>0.9690066247</v>
      </c>
      <c r="AI66" s="2" t="str">
        <f>VLOOKUP(AE66,B55:U101,(X66/25000),FALSE)</f>
        <v>21.31230166</v>
      </c>
      <c r="AJ66" s="2" t="str">
        <f>VLOOKUP(AF66,B55:U101,(X66/25000),FALSE)</f>
        <v>10.11286189</v>
      </c>
      <c r="AK66" s="2" t="str">
        <f>VLOOKUP(AE66,B55:U101,(Y66/25000),FALSE)</f>
        <v>29.4919722</v>
      </c>
      <c r="AL66" s="2" t="str">
        <f>VLOOKUP(AF66,B55:U101,(Y66/25000),FALSE)</f>
        <v>29.38396426</v>
      </c>
      <c r="AM66" s="2" t="str">
        <f t="shared" si="37"/>
        <v>10.45997033</v>
      </c>
      <c r="AN66" s="2" t="str">
        <f t="shared" si="38"/>
        <v>29.38731179</v>
      </c>
      <c r="AO66" s="2" t="str">
        <f t="shared" si="39"/>
        <v>14.76299558</v>
      </c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ht="12.75" customHeight="1">
      <c r="A67" s="1"/>
      <c r="B67" s="1">
        <v>4.0</v>
      </c>
      <c r="C67" s="1">
        <v>28.80114566</v>
      </c>
      <c r="D67" s="1">
        <v>34.14691943</v>
      </c>
      <c r="E67" s="1">
        <v>37.41237113</v>
      </c>
      <c r="F67" s="1">
        <v>39.96706915</v>
      </c>
      <c r="G67" s="1">
        <v>42.06440483</v>
      </c>
      <c r="H67" s="1">
        <v>43.80441264</v>
      </c>
      <c r="I67" s="1">
        <v>45.16209476</v>
      </c>
      <c r="J67" s="1">
        <v>44.32547635</v>
      </c>
      <c r="K67" s="1">
        <v>43.48885794</v>
      </c>
      <c r="L67" s="1">
        <v>41.41109564</v>
      </c>
      <c r="M67" s="1">
        <v>39.33333333</v>
      </c>
      <c r="N67" s="1">
        <v>39.12254902</v>
      </c>
      <c r="O67" s="1">
        <v>38.91176471</v>
      </c>
      <c r="P67" s="1">
        <v>39.47091995</v>
      </c>
      <c r="Q67" s="1">
        <v>40.03007519</v>
      </c>
      <c r="R67" s="1">
        <v>40.37735644</v>
      </c>
      <c r="S67" s="1">
        <v>40.72463768</v>
      </c>
      <c r="T67" s="1">
        <v>41.57885428</v>
      </c>
      <c r="U67" s="1">
        <v>42.43307087</v>
      </c>
      <c r="V67" s="1"/>
      <c r="W67" s="2" t="str">
        <f>IF('расчет'!R35&lt;50000,50000,'расчет'!R35)</f>
        <v>96182.02339</v>
      </c>
      <c r="X67" s="2" t="str">
        <f t="shared" si="28"/>
        <v>75000</v>
      </c>
      <c r="Y67" s="2" t="str">
        <f t="shared" si="29"/>
        <v>100000</v>
      </c>
      <c r="Z67" s="2" t="str">
        <f t="shared" si="30"/>
        <v>0.1527190645</v>
      </c>
      <c r="AA67" s="2" t="str">
        <f t="shared" si="31"/>
        <v>0.8472809355</v>
      </c>
      <c r="AB67" s="2" t="str">
        <f>'расчет'!P35</f>
        <v>14.12833628</v>
      </c>
      <c r="AC67" s="2" t="str">
        <f t="shared" ref="AC67:AD67" si="51">AC66</f>
        <v>-2</v>
      </c>
      <c r="AD67" s="2" t="str">
        <f t="shared" si="51"/>
        <v>21</v>
      </c>
      <c r="AE67" s="2" t="str">
        <f t="shared" si="33"/>
        <v>14</v>
      </c>
      <c r="AF67" s="2" t="str">
        <f t="shared" si="34"/>
        <v>14.5</v>
      </c>
      <c r="AG67" s="2" t="str">
        <f t="shared" si="35"/>
        <v>0.7433274325</v>
      </c>
      <c r="AH67" s="2" t="str">
        <f t="shared" si="36"/>
        <v>0.2566725675</v>
      </c>
      <c r="AI67" s="2" t="str">
        <f>VLOOKUP(AE67,B55:U101,(X67/25000),FALSE)</f>
        <v>4.078357482</v>
      </c>
      <c r="AJ67" s="2" t="str">
        <f>VLOOKUP(AF67,B55:U101,(X67/25000),FALSE)</f>
        <v>4.000122197</v>
      </c>
      <c r="AK67" s="2" t="str">
        <f>VLOOKUP(AE67,B55:U101,(Y67/25000),FALSE)</f>
        <v>10.26605299</v>
      </c>
      <c r="AL67" s="2" t="str">
        <f>VLOOKUP(AF67,B55:U101,(Y67/25000),FALSE)</f>
        <v>3.430254231</v>
      </c>
      <c r="AM67" s="2" t="str">
        <f t="shared" si="37"/>
        <v>4.058276631</v>
      </c>
      <c r="AN67" s="2" t="str">
        <f t="shared" si="38"/>
        <v>8.511490971</v>
      </c>
      <c r="AO67" s="2" t="str">
        <f t="shared" si="39"/>
        <v>7.831400243</v>
      </c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ht="12.75" customHeight="1">
      <c r="A68" s="1"/>
      <c r="B68" s="1">
        <v>4.5</v>
      </c>
      <c r="C68" s="1">
        <v>29.17944785</v>
      </c>
      <c r="D68" s="1">
        <v>34.30232558</v>
      </c>
      <c r="E68" s="1">
        <v>36.94397692</v>
      </c>
      <c r="F68" s="1">
        <v>40.01560062</v>
      </c>
      <c r="G68" s="1">
        <v>42.4212272</v>
      </c>
      <c r="H68" s="1">
        <v>44.45150115</v>
      </c>
      <c r="I68" s="1">
        <v>46.26123427</v>
      </c>
      <c r="J68" s="1">
        <v>47.24902126</v>
      </c>
      <c r="K68" s="1">
        <v>48.23680824</v>
      </c>
      <c r="L68" s="1">
        <v>48.35563295</v>
      </c>
      <c r="M68" s="1">
        <v>48.47445766</v>
      </c>
      <c r="N68" s="1">
        <v>48.8495444</v>
      </c>
      <c r="O68" s="1">
        <v>49.22463114</v>
      </c>
      <c r="P68" s="1">
        <v>46.86689128</v>
      </c>
      <c r="Q68" s="1">
        <v>44.50915141</v>
      </c>
      <c r="R68" s="1">
        <v>44.54836989</v>
      </c>
      <c r="S68" s="1">
        <v>44.58758837</v>
      </c>
      <c r="T68" s="1">
        <v>44.89348144</v>
      </c>
      <c r="U68" s="1">
        <v>45.19937451</v>
      </c>
      <c r="V68" s="1"/>
      <c r="W68" s="2" t="str">
        <f>IF('расчет'!R36&lt;50000,50000,'расчет'!R36)</f>
        <v>85674.39578</v>
      </c>
      <c r="X68" s="2" t="str">
        <f t="shared" si="28"/>
        <v>75000</v>
      </c>
      <c r="Y68" s="2" t="str">
        <f t="shared" si="29"/>
        <v>100000</v>
      </c>
      <c r="Z68" s="2" t="str">
        <f t="shared" si="30"/>
        <v>0.5730241689</v>
      </c>
      <c r="AA68" s="2" t="str">
        <f t="shared" si="31"/>
        <v>0.4269758311</v>
      </c>
      <c r="AB68" s="2" t="str">
        <f>'расчет'!P36</f>
        <v>15.85841006</v>
      </c>
      <c r="AC68" s="2" t="str">
        <f t="shared" ref="AC68:AD68" si="52">AC67</f>
        <v>-2</v>
      </c>
      <c r="AD68" s="2" t="str">
        <f t="shared" si="52"/>
        <v>21</v>
      </c>
      <c r="AE68" s="2" t="str">
        <f t="shared" si="33"/>
        <v>15.5</v>
      </c>
      <c r="AF68" s="2" t="str">
        <f t="shared" si="34"/>
        <v>16</v>
      </c>
      <c r="AG68" s="2" t="str">
        <f t="shared" si="35"/>
        <v>0.2831798876</v>
      </c>
      <c r="AH68" s="2" t="str">
        <f t="shared" si="36"/>
        <v>0.7168201124</v>
      </c>
      <c r="AI68" s="2" t="str">
        <f>VLOOKUP(AE68,B55:U101,(X68/25000),FALSE)</f>
        <v>3.887230514</v>
      </c>
      <c r="AJ68" s="2" t="str">
        <f>VLOOKUP(AF68,B55:U101,(X68/25000),FALSE)</f>
        <v>3.616113481</v>
      </c>
      <c r="AK68" s="2" t="str">
        <f>VLOOKUP(AE68,B55:U101,(Y68/25000),FALSE)</f>
        <v>3.238134658</v>
      </c>
      <c r="AL68" s="2" t="str">
        <f>VLOOKUP(AF68,B55:U101,(Y68/25000),FALSE)</f>
        <v>3.2864068</v>
      </c>
      <c r="AM68" s="2" t="str">
        <f t="shared" si="37"/>
        <v>3.692888372</v>
      </c>
      <c r="AN68" s="2" t="str">
        <f t="shared" si="38"/>
        <v>3.2727371</v>
      </c>
      <c r="AO68" s="2" t="str">
        <f t="shared" si="39"/>
        <v>3.513493933</v>
      </c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ht="12.75" customHeight="1">
      <c r="A69" s="1"/>
      <c r="B69" s="1">
        <v>5.0</v>
      </c>
      <c r="C69" s="1">
        <v>28.92395983</v>
      </c>
      <c r="D69" s="1">
        <v>34.2114094</v>
      </c>
      <c r="E69" s="1">
        <v>37.74825175</v>
      </c>
      <c r="F69" s="1">
        <v>40.47619048</v>
      </c>
      <c r="G69" s="1">
        <v>42.62796834</v>
      </c>
      <c r="H69" s="1">
        <v>44.81646274</v>
      </c>
      <c r="I69" s="1">
        <v>46.44457209</v>
      </c>
      <c r="J69" s="1">
        <v>48.30572239</v>
      </c>
      <c r="K69" s="1">
        <v>50.16687268</v>
      </c>
      <c r="L69" s="1">
        <v>51.03519645</v>
      </c>
      <c r="M69" s="1">
        <v>51.90352021</v>
      </c>
      <c r="N69" s="1">
        <v>52.3087026</v>
      </c>
      <c r="O69" s="1">
        <v>52.71388499</v>
      </c>
      <c r="P69" s="1">
        <v>53.43467045</v>
      </c>
      <c r="Q69" s="1">
        <v>54.1554559</v>
      </c>
      <c r="R69" s="1">
        <v>54.58561439</v>
      </c>
      <c r="S69" s="1">
        <v>55.01577287</v>
      </c>
      <c r="T69" s="1">
        <v>55.4842708</v>
      </c>
      <c r="U69" s="1">
        <v>55.95276873</v>
      </c>
      <c r="V69" s="1"/>
      <c r="W69" s="2" t="str">
        <f>IF('расчет'!R37&lt;50000,50000,'расчет'!R37)</f>
        <v>74137.3012</v>
      </c>
      <c r="X69" s="2" t="str">
        <f t="shared" si="28"/>
        <v>50000</v>
      </c>
      <c r="Y69" s="2" t="str">
        <f t="shared" si="29"/>
        <v>75000</v>
      </c>
      <c r="Z69" s="2" t="str">
        <f t="shared" si="30"/>
        <v>0.03450795217</v>
      </c>
      <c r="AA69" s="2" t="str">
        <f t="shared" si="31"/>
        <v>0.9654920478</v>
      </c>
      <c r="AB69" s="2" t="str">
        <f>'расчет'!P37</f>
        <v>18.5217332</v>
      </c>
      <c r="AC69" s="2" t="str">
        <f t="shared" ref="AC69:AD69" si="53">AC68</f>
        <v>-2</v>
      </c>
      <c r="AD69" s="2" t="str">
        <f t="shared" si="53"/>
        <v>21</v>
      </c>
      <c r="AE69" s="2" t="str">
        <f t="shared" si="33"/>
        <v>18.5</v>
      </c>
      <c r="AF69" s="2" t="str">
        <f t="shared" si="34"/>
        <v>19</v>
      </c>
      <c r="AG69" s="2" t="str">
        <f t="shared" si="35"/>
        <v>0.9565335919</v>
      </c>
      <c r="AH69" s="2" t="str">
        <f t="shared" si="36"/>
        <v>0.0434664081</v>
      </c>
      <c r="AI69" s="2" t="str">
        <f>VLOOKUP(AE69,B55:U101,(X69/25000),FALSE)</f>
        <v>3.252697529</v>
      </c>
      <c r="AJ69" s="2" t="str">
        <f>VLOOKUP(AF69,B55:U101,(X69/25000),FALSE)</f>
        <v>3.248593926</v>
      </c>
      <c r="AK69" s="2" t="str">
        <f>VLOOKUP(AE69,B55:U101,(Y69/25000),FALSE)</f>
        <v>3.36786849</v>
      </c>
      <c r="AL69" s="2" t="str">
        <f>VLOOKUP(AF69,B55:U101,(Y69/25000),FALSE)</f>
        <v>3.318975393</v>
      </c>
      <c r="AM69" s="2" t="str">
        <f t="shared" si="37"/>
        <v>3.25251916</v>
      </c>
      <c r="AN69" s="2" t="str">
        <f t="shared" si="38"/>
        <v>3.365743283</v>
      </c>
      <c r="AO69" s="2" t="str">
        <f t="shared" si="39"/>
        <v>3.36183615</v>
      </c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ht="12.75" customHeight="1">
      <c r="A70" s="1"/>
      <c r="B70" s="1">
        <v>5.5</v>
      </c>
      <c r="C70" s="1">
        <v>28.47412354</v>
      </c>
      <c r="D70" s="1">
        <v>33.99523431</v>
      </c>
      <c r="E70" s="1">
        <v>37.42782152</v>
      </c>
      <c r="F70" s="1">
        <v>40.15529412</v>
      </c>
      <c r="G70" s="1">
        <v>42.94715447</v>
      </c>
      <c r="H70" s="1">
        <v>44.75409836</v>
      </c>
      <c r="I70" s="1">
        <v>46.99554069</v>
      </c>
      <c r="J70" s="1">
        <v>48.49482049</v>
      </c>
      <c r="K70" s="1">
        <v>49.99410029</v>
      </c>
      <c r="L70" s="1">
        <v>51.94888792</v>
      </c>
      <c r="M70" s="1">
        <v>53.90367554</v>
      </c>
      <c r="N70" s="1">
        <v>55.16896925</v>
      </c>
      <c r="O70" s="1">
        <v>56.43426295</v>
      </c>
      <c r="P70" s="1">
        <v>56.2068222</v>
      </c>
      <c r="Q70" s="1">
        <v>55.97938144</v>
      </c>
      <c r="R70" s="1">
        <v>56.84286822</v>
      </c>
      <c r="S70" s="1">
        <v>57.706355</v>
      </c>
      <c r="T70" s="1">
        <v>58.74917134</v>
      </c>
      <c r="U70" s="1">
        <v>59.79198767</v>
      </c>
      <c r="V70" s="1"/>
      <c r="W70" s="2" t="str">
        <f>IF('расчет'!R38&lt;50000,50000,'расчет'!R38)</f>
        <v>61560.12526</v>
      </c>
      <c r="X70" s="2" t="str">
        <f t="shared" si="28"/>
        <v>50000</v>
      </c>
      <c r="Y70" s="2" t="str">
        <f t="shared" si="29"/>
        <v>75000</v>
      </c>
      <c r="Z70" s="2" t="str">
        <f t="shared" si="30"/>
        <v>0.5375949897</v>
      </c>
      <c r="AA70" s="2" t="str">
        <f t="shared" si="31"/>
        <v>0.4624050103</v>
      </c>
      <c r="AB70" s="2" t="str">
        <f>'расчет'!P38</f>
        <v>22.68814529</v>
      </c>
      <c r="AC70" s="2" t="str">
        <f t="shared" ref="AC70:AD70" si="54">AC69</f>
        <v>-2</v>
      </c>
      <c r="AD70" s="2" t="str">
        <f t="shared" si="54"/>
        <v>21</v>
      </c>
      <c r="AE70" s="2" t="str">
        <f t="shared" si="33"/>
        <v>22.5</v>
      </c>
      <c r="AF70" s="2" t="str">
        <f t="shared" si="34"/>
        <v>23</v>
      </c>
      <c r="AG70" s="2" t="str">
        <f t="shared" si="35"/>
        <v>0.6237094224</v>
      </c>
      <c r="AH70" s="2" t="str">
        <f t="shared" si="36"/>
        <v>0.3762905776</v>
      </c>
      <c r="AI70" s="1" t="str">
        <f>VLOOKUP(AE70,B55:U101,(X70/25000),FALSE)</f>
        <v>#N/A</v>
      </c>
      <c r="AJ70" s="1" t="str">
        <f>VLOOKUP(AF70,B55:U101,(X70/25000),FALSE)</f>
        <v>#N/A</v>
      </c>
      <c r="AK70" s="1" t="str">
        <f>VLOOKUP(AE70,B55:U101,(Y70/25000),FALSE)</f>
        <v>#N/A</v>
      </c>
      <c r="AL70" s="1" t="str">
        <f>VLOOKUP(AF70,B55:U101,(Y70/25000),FALSE)</f>
        <v>#N/A</v>
      </c>
      <c r="AM70" s="2" t="str">
        <f t="shared" si="37"/>
        <v>#N/A</v>
      </c>
      <c r="AN70" s="2" t="str">
        <f t="shared" si="38"/>
        <v>#N/A</v>
      </c>
      <c r="AO70" s="2" t="str">
        <f t="shared" si="39"/>
        <v>#N/A</v>
      </c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ht="12.75" customHeight="1">
      <c r="A71" s="1"/>
      <c r="B71" s="1">
        <v>6.0</v>
      </c>
      <c r="C71" s="1">
        <v>27.67673622</v>
      </c>
      <c r="D71" s="1">
        <v>33.29499072</v>
      </c>
      <c r="E71" s="1">
        <v>37.30079266</v>
      </c>
      <c r="F71" s="1">
        <v>40.26708918</v>
      </c>
      <c r="G71" s="1">
        <v>42.47373448</v>
      </c>
      <c r="H71" s="1">
        <v>45.11770727</v>
      </c>
      <c r="I71" s="1">
        <v>46.83315622</v>
      </c>
      <c r="J71" s="1">
        <v>48.75087206</v>
      </c>
      <c r="K71" s="1">
        <v>50.6685879</v>
      </c>
      <c r="L71" s="1">
        <v>52.33736144</v>
      </c>
      <c r="M71" s="1">
        <v>54.00613497</v>
      </c>
      <c r="N71" s="1">
        <v>55.19557066</v>
      </c>
      <c r="O71" s="1">
        <v>56.38500635</v>
      </c>
      <c r="P71" s="1">
        <v>58.23618597</v>
      </c>
      <c r="Q71" s="1">
        <v>60.08736559</v>
      </c>
      <c r="R71" s="1">
        <v>61.49400051</v>
      </c>
      <c r="S71" s="1">
        <v>62.90063543</v>
      </c>
      <c r="T71" s="1">
        <v>63.23154462</v>
      </c>
      <c r="U71" s="1">
        <v>63.56245381</v>
      </c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ht="12.75" customHeight="1">
      <c r="A72" s="1"/>
      <c r="B72" s="1">
        <v>6.5</v>
      </c>
      <c r="C72" s="1">
        <v>26.34952573</v>
      </c>
      <c r="D72" s="1">
        <v>32.58399723</v>
      </c>
      <c r="E72" s="1">
        <v>36.45136187</v>
      </c>
      <c r="F72" s="1">
        <v>39.38973064</v>
      </c>
      <c r="G72" s="1">
        <v>42.60027663</v>
      </c>
      <c r="H72" s="1">
        <v>44.56605593</v>
      </c>
      <c r="I72" s="1">
        <v>46.80081508</v>
      </c>
      <c r="J72" s="1">
        <v>48.85596931</v>
      </c>
      <c r="K72" s="1">
        <v>50.91112353</v>
      </c>
      <c r="L72" s="1">
        <v>52.19431104</v>
      </c>
      <c r="M72" s="1">
        <v>53.47749854</v>
      </c>
      <c r="N72" s="1">
        <v>55.38080184</v>
      </c>
      <c r="O72" s="1">
        <v>57.28410513</v>
      </c>
      <c r="P72" s="1">
        <v>59.00814755</v>
      </c>
      <c r="Q72" s="1">
        <v>60.73218997</v>
      </c>
      <c r="R72" s="1">
        <v>62.15499149</v>
      </c>
      <c r="S72" s="1">
        <v>63.57779301</v>
      </c>
      <c r="T72" s="1">
        <v>64.16406988</v>
      </c>
      <c r="U72" s="1">
        <v>64.75034674</v>
      </c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ht="12.75" customHeight="1">
      <c r="A73" s="1"/>
      <c r="B73" s="1">
        <v>7.0</v>
      </c>
      <c r="C73" s="1">
        <v>25.15504903</v>
      </c>
      <c r="D73" s="1">
        <v>31.47631408</v>
      </c>
      <c r="E73" s="1">
        <v>35.99110782</v>
      </c>
      <c r="F73" s="1">
        <v>39.23388731</v>
      </c>
      <c r="G73" s="1">
        <v>41.8925942</v>
      </c>
      <c r="H73" s="1">
        <v>44.49651972</v>
      </c>
      <c r="I73" s="1">
        <v>47.02075099</v>
      </c>
      <c r="J73" s="1">
        <v>48.58417624</v>
      </c>
      <c r="K73" s="1">
        <v>50.14760148</v>
      </c>
      <c r="L73" s="1">
        <v>52.17150189</v>
      </c>
      <c r="M73" s="1">
        <v>54.1954023</v>
      </c>
      <c r="N73" s="1">
        <v>55.97569012</v>
      </c>
      <c r="O73" s="1">
        <v>57.75597793</v>
      </c>
      <c r="P73" s="1">
        <v>59.10831526</v>
      </c>
      <c r="Q73" s="1">
        <v>60.46065259</v>
      </c>
      <c r="R73" s="1">
        <v>61.53624735</v>
      </c>
      <c r="S73" s="1">
        <v>62.61184211</v>
      </c>
      <c r="T73" s="1">
        <v>64.35898791</v>
      </c>
      <c r="U73" s="1">
        <v>66.1061337</v>
      </c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ht="12.75" customHeight="1">
      <c r="A74" s="1"/>
      <c r="B74" s="1">
        <v>7.5</v>
      </c>
      <c r="C74" s="1">
        <v>23.65949119</v>
      </c>
      <c r="D74" s="1">
        <v>30.19420376</v>
      </c>
      <c r="E74" s="1">
        <v>34.73014782</v>
      </c>
      <c r="F74" s="1">
        <v>38.73510188</v>
      </c>
      <c r="G74" s="1">
        <v>41.51452282</v>
      </c>
      <c r="H74" s="1">
        <v>44.48924731</v>
      </c>
      <c r="I74" s="1">
        <v>45.8490566</v>
      </c>
      <c r="J74" s="1">
        <v>48.27131919</v>
      </c>
      <c r="K74" s="1">
        <v>50.69358178</v>
      </c>
      <c r="L74" s="1">
        <v>52.6067572</v>
      </c>
      <c r="M74" s="1">
        <v>54.51993262</v>
      </c>
      <c r="N74" s="1">
        <v>55.65949902</v>
      </c>
      <c r="O74" s="1">
        <v>56.79906542</v>
      </c>
      <c r="P74" s="1">
        <v>58.42739649</v>
      </c>
      <c r="Q74" s="1">
        <v>60.05572755</v>
      </c>
      <c r="R74" s="1">
        <v>61.78930169</v>
      </c>
      <c r="S74" s="1">
        <v>63.52287582</v>
      </c>
      <c r="T74" s="1">
        <v>65.15051641</v>
      </c>
      <c r="U74" s="1">
        <v>66.778157</v>
      </c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ht="12.75" customHeight="1">
      <c r="A75" s="1"/>
      <c r="B75" s="1">
        <v>8.0</v>
      </c>
      <c r="C75" s="1">
        <v>21.80521507</v>
      </c>
      <c r="D75" s="1">
        <v>29.01408451</v>
      </c>
      <c r="E75" s="1">
        <v>34.03468586</v>
      </c>
      <c r="F75" s="1">
        <v>37.63110307</v>
      </c>
      <c r="G75" s="1">
        <v>41.32482043</v>
      </c>
      <c r="H75" s="1">
        <v>43.39907679</v>
      </c>
      <c r="I75" s="1">
        <v>46.25847266</v>
      </c>
      <c r="J75" s="1">
        <v>48.56796553</v>
      </c>
      <c r="K75" s="1">
        <v>50.8774584</v>
      </c>
      <c r="L75" s="1">
        <v>52.23926112</v>
      </c>
      <c r="M75" s="1">
        <v>53.60106383</v>
      </c>
      <c r="N75" s="1">
        <v>55.45913871</v>
      </c>
      <c r="O75" s="1">
        <v>57.31721359</v>
      </c>
      <c r="P75" s="1">
        <v>59.08140092</v>
      </c>
      <c r="Q75" s="1">
        <v>60.84558824</v>
      </c>
      <c r="R75" s="1">
        <v>62.53111134</v>
      </c>
      <c r="S75" s="1">
        <v>64.21663443</v>
      </c>
      <c r="T75" s="1">
        <v>65.71234406</v>
      </c>
      <c r="U75" s="1">
        <v>67.20805369</v>
      </c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ht="12.75" customHeight="1">
      <c r="A76" s="1"/>
      <c r="B76" s="1">
        <v>8.5</v>
      </c>
      <c r="C76" s="1">
        <v>19.89417989</v>
      </c>
      <c r="D76" s="1">
        <v>27.53431753</v>
      </c>
      <c r="E76" s="1">
        <v>32.54088431</v>
      </c>
      <c r="F76" s="1">
        <v>37.22799723</v>
      </c>
      <c r="G76" s="1">
        <v>40.12729315</v>
      </c>
      <c r="H76" s="1">
        <v>43.46972177</v>
      </c>
      <c r="I76" s="1">
        <v>46.37203166</v>
      </c>
      <c r="J76" s="1">
        <v>48.2434871</v>
      </c>
      <c r="K76" s="1">
        <v>50.11494253</v>
      </c>
      <c r="L76" s="1">
        <v>52.14014636</v>
      </c>
      <c r="M76" s="1">
        <v>54.16535018</v>
      </c>
      <c r="N76" s="1">
        <v>56.02705648</v>
      </c>
      <c r="O76" s="1">
        <v>57.88876277</v>
      </c>
      <c r="P76" s="1">
        <v>59.575391</v>
      </c>
      <c r="Q76" s="1">
        <v>61.26201923</v>
      </c>
      <c r="R76" s="1">
        <v>62.53175868</v>
      </c>
      <c r="S76" s="1">
        <v>63.80149813</v>
      </c>
      <c r="T76" s="1">
        <v>65.08550359</v>
      </c>
      <c r="U76" s="1">
        <v>66.36950904</v>
      </c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ht="12.75" customHeight="1">
      <c r="A77" s="1"/>
      <c r="B77" s="1">
        <v>9.0</v>
      </c>
      <c r="C77" s="1">
        <v>18.04091412</v>
      </c>
      <c r="D77" s="1">
        <v>25.99466279</v>
      </c>
      <c r="E77" s="1">
        <v>31.67291607</v>
      </c>
      <c r="F77" s="1">
        <v>35.79339378</v>
      </c>
      <c r="G77" s="1">
        <v>39.98183799</v>
      </c>
      <c r="H77" s="1">
        <v>42.75232919</v>
      </c>
      <c r="I77" s="1">
        <v>45.51752922</v>
      </c>
      <c r="J77" s="1">
        <v>47.97338725</v>
      </c>
      <c r="K77" s="1">
        <v>50.42924528</v>
      </c>
      <c r="L77" s="1">
        <v>52.44921612</v>
      </c>
      <c r="M77" s="1">
        <v>54.46918695</v>
      </c>
      <c r="N77" s="1">
        <v>56.0278865</v>
      </c>
      <c r="O77" s="1">
        <v>57.58658604</v>
      </c>
      <c r="P77" s="1">
        <v>59.0877503</v>
      </c>
      <c r="Q77" s="1">
        <v>60.58891455</v>
      </c>
      <c r="R77" s="1">
        <v>62.37905862</v>
      </c>
      <c r="S77" s="1">
        <v>64.16920268</v>
      </c>
      <c r="T77" s="1">
        <v>65.86563253</v>
      </c>
      <c r="U77" s="1">
        <v>67.56206238</v>
      </c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ht="12.75" customHeight="1">
      <c r="A78" s="1"/>
      <c r="B78" s="1">
        <v>9.5</v>
      </c>
      <c r="C78" s="1">
        <v>14.54238921</v>
      </c>
      <c r="D78" s="1">
        <v>24.51871658</v>
      </c>
      <c r="E78" s="1">
        <v>30.14423077</v>
      </c>
      <c r="F78" s="1">
        <v>35.44090056</v>
      </c>
      <c r="G78" s="1">
        <v>38.90410959</v>
      </c>
      <c r="H78" s="1">
        <v>42.50944822</v>
      </c>
      <c r="I78" s="1">
        <v>45.64291564</v>
      </c>
      <c r="J78" s="1">
        <v>48.02478499</v>
      </c>
      <c r="K78" s="1">
        <v>50.40665434</v>
      </c>
      <c r="L78" s="1">
        <v>52.07770652</v>
      </c>
      <c r="M78" s="1">
        <v>53.74875869</v>
      </c>
      <c r="N78" s="1">
        <v>55.71662534</v>
      </c>
      <c r="O78" s="1">
        <v>57.68449198</v>
      </c>
      <c r="P78" s="1">
        <v>59.56626644</v>
      </c>
      <c r="Q78" s="1">
        <v>61.44804089</v>
      </c>
      <c r="R78" s="1">
        <v>63.14356753</v>
      </c>
      <c r="S78" s="1">
        <v>64.83909416</v>
      </c>
      <c r="T78" s="1">
        <v>66.26546292</v>
      </c>
      <c r="U78" s="1">
        <v>67.69183168</v>
      </c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ht="12.75" customHeight="1">
      <c r="A79" s="1"/>
      <c r="B79" s="1">
        <v>10.0</v>
      </c>
      <c r="C79" s="1">
        <v>10.45322793</v>
      </c>
      <c r="D79" s="1">
        <v>22.30119489</v>
      </c>
      <c r="E79" s="1">
        <v>29.12611465</v>
      </c>
      <c r="F79" s="1">
        <v>34.1622575</v>
      </c>
      <c r="G79" s="1">
        <v>38.69986631</v>
      </c>
      <c r="H79" s="1">
        <v>42.64814815</v>
      </c>
      <c r="I79" s="1">
        <v>44.97453976</v>
      </c>
      <c r="J79" s="1">
        <v>47.40482781</v>
      </c>
      <c r="K79" s="1">
        <v>49.83511586</v>
      </c>
      <c r="L79" s="1">
        <v>51.97221874</v>
      </c>
      <c r="M79" s="1">
        <v>54.10932162</v>
      </c>
      <c r="N79" s="1">
        <v>56.04263152</v>
      </c>
      <c r="O79" s="1">
        <v>57.97594142</v>
      </c>
      <c r="P79" s="1">
        <v>59.41216338</v>
      </c>
      <c r="Q79" s="1">
        <v>60.84838533</v>
      </c>
      <c r="R79" s="1">
        <v>62.51994955</v>
      </c>
      <c r="S79" s="1">
        <v>64.19151376</v>
      </c>
      <c r="T79" s="1">
        <v>65.90642195</v>
      </c>
      <c r="U79" s="1">
        <v>67.62133014</v>
      </c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ht="12.75" customHeight="1">
      <c r="A80" s="1"/>
      <c r="B80" s="1">
        <v>10.5</v>
      </c>
      <c r="C80" s="1">
        <v>8.039812901</v>
      </c>
      <c r="D80" s="1">
        <v>21.63041386</v>
      </c>
      <c r="E80" s="1">
        <v>27.94664126</v>
      </c>
      <c r="F80" s="1">
        <v>33.70972341</v>
      </c>
      <c r="G80" s="1">
        <v>38.07348243</v>
      </c>
      <c r="H80" s="1">
        <v>41.71631206</v>
      </c>
      <c r="I80" s="1">
        <v>44.74151235</v>
      </c>
      <c r="J80" s="1">
        <v>47.29423672</v>
      </c>
      <c r="K80" s="1">
        <v>49.84696108</v>
      </c>
      <c r="L80" s="1">
        <v>51.621505</v>
      </c>
      <c r="M80" s="1">
        <v>53.39604892</v>
      </c>
      <c r="N80" s="1">
        <v>55.32798927</v>
      </c>
      <c r="O80" s="1">
        <v>57.25992961</v>
      </c>
      <c r="P80" s="1">
        <v>59.16510858</v>
      </c>
      <c r="Q80" s="1">
        <v>61.07028754</v>
      </c>
      <c r="R80" s="1">
        <v>62.72299216</v>
      </c>
      <c r="S80" s="1">
        <v>64.37569677</v>
      </c>
      <c r="T80" s="1">
        <v>65.64406959</v>
      </c>
      <c r="U80" s="1">
        <v>66.9124424</v>
      </c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ht="12.75" customHeight="1">
      <c r="A81" s="1"/>
      <c r="B81" s="1">
        <v>11.0</v>
      </c>
      <c r="C81" s="1">
        <v>6.343090033</v>
      </c>
      <c r="D81" s="1">
        <v>5.884496776</v>
      </c>
      <c r="E81" s="1">
        <v>26.31958531</v>
      </c>
      <c r="F81" s="1">
        <v>32.81258476</v>
      </c>
      <c r="G81" s="1">
        <v>37.48598131</v>
      </c>
      <c r="H81" s="1">
        <v>41.50627615</v>
      </c>
      <c r="I81" s="1">
        <v>44.56472369</v>
      </c>
      <c r="J81" s="1">
        <v>46.75947231</v>
      </c>
      <c r="K81" s="1">
        <v>48.95422092</v>
      </c>
      <c r="L81" s="1">
        <v>51.0858856</v>
      </c>
      <c r="M81" s="1">
        <v>53.21755027</v>
      </c>
      <c r="N81" s="1">
        <v>55.11023713</v>
      </c>
      <c r="O81" s="1">
        <v>57.00292398</v>
      </c>
      <c r="P81" s="1">
        <v>58.39215848</v>
      </c>
      <c r="Q81" s="1">
        <v>59.78139298</v>
      </c>
      <c r="R81" s="1">
        <v>61.52715705</v>
      </c>
      <c r="S81" s="1">
        <v>63.27292111</v>
      </c>
      <c r="T81" s="1">
        <v>64.72998574</v>
      </c>
      <c r="U81" s="1">
        <v>66.18705036</v>
      </c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ht="12.75" customHeight="1">
      <c r="A82" s="1"/>
      <c r="B82" s="1">
        <v>11.5</v>
      </c>
      <c r="C82" s="1">
        <v>5.085087507</v>
      </c>
      <c r="D82" s="1">
        <v>5.99853359</v>
      </c>
      <c r="E82" s="1">
        <v>26.1966645</v>
      </c>
      <c r="F82" s="1">
        <v>31.85030097</v>
      </c>
      <c r="G82" s="1">
        <v>37.48625535</v>
      </c>
      <c r="H82" s="1">
        <v>40.59020791</v>
      </c>
      <c r="I82" s="1">
        <v>43.51616418</v>
      </c>
      <c r="J82" s="1">
        <v>45.9893219</v>
      </c>
      <c r="K82" s="1">
        <v>48.46247961</v>
      </c>
      <c r="L82" s="1">
        <v>50.15103057</v>
      </c>
      <c r="M82" s="1">
        <v>51.83958152</v>
      </c>
      <c r="N82" s="1">
        <v>53.79287305</v>
      </c>
      <c r="O82" s="1">
        <v>55.74616457</v>
      </c>
      <c r="P82" s="1">
        <v>57.41609304</v>
      </c>
      <c r="Q82" s="1">
        <v>59.08602151</v>
      </c>
      <c r="R82" s="1">
        <v>60.22448476</v>
      </c>
      <c r="S82" s="1">
        <v>61.36294801</v>
      </c>
      <c r="T82" s="1">
        <v>62.85618545</v>
      </c>
      <c r="U82" s="1">
        <v>64.34942288</v>
      </c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ht="12.75" customHeight="1">
      <c r="A83" s="1"/>
      <c r="B83" s="1">
        <v>12.0</v>
      </c>
      <c r="C83" s="1">
        <v>4.115126411</v>
      </c>
      <c r="D83" s="1">
        <v>6.201501877</v>
      </c>
      <c r="E83" s="1">
        <v>23.42215989</v>
      </c>
      <c r="F83" s="1">
        <v>31.51921132</v>
      </c>
      <c r="G83" s="1">
        <v>35.85493737</v>
      </c>
      <c r="H83" s="1">
        <v>39.86636245</v>
      </c>
      <c r="I83" s="1">
        <v>42.88637968</v>
      </c>
      <c r="J83" s="1">
        <v>44.94008666</v>
      </c>
      <c r="K83" s="1">
        <v>46.99379364</v>
      </c>
      <c r="L83" s="1">
        <v>48.98036271</v>
      </c>
      <c r="M83" s="1">
        <v>50.96693177</v>
      </c>
      <c r="N83" s="1">
        <v>52.26323822</v>
      </c>
      <c r="O83" s="1">
        <v>53.55954466</v>
      </c>
      <c r="P83" s="1">
        <v>55.35021113</v>
      </c>
      <c r="Q83" s="1">
        <v>57.1408776</v>
      </c>
      <c r="R83" s="1">
        <v>58.56322726</v>
      </c>
      <c r="S83" s="1">
        <v>59.98557692</v>
      </c>
      <c r="T83" s="1">
        <v>61.02394573</v>
      </c>
      <c r="U83" s="1">
        <v>62.06231454</v>
      </c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ht="12.75" customHeight="1">
      <c r="A84" s="1"/>
      <c r="B84" s="1">
        <v>12.5</v>
      </c>
      <c r="C84" s="1">
        <v>4.123489933</v>
      </c>
      <c r="D84" s="1">
        <v>7.007110537</v>
      </c>
      <c r="E84" s="1">
        <v>21.31230166</v>
      </c>
      <c r="F84" s="1">
        <v>29.4919722</v>
      </c>
      <c r="G84" s="1">
        <v>35.56030796</v>
      </c>
      <c r="H84" s="1">
        <v>38.70987847</v>
      </c>
      <c r="I84" s="1">
        <v>41.28428094</v>
      </c>
      <c r="J84" s="1">
        <v>43.43614935</v>
      </c>
      <c r="K84" s="1">
        <v>45.58801775</v>
      </c>
      <c r="L84" s="1">
        <v>47.19015365</v>
      </c>
      <c r="M84" s="1">
        <v>48.79228954</v>
      </c>
      <c r="N84" s="1">
        <v>50.49406144</v>
      </c>
      <c r="O84" s="1">
        <v>52.19583333</v>
      </c>
      <c r="P84" s="1">
        <v>53.29688085</v>
      </c>
      <c r="Q84" s="1">
        <v>54.39792836</v>
      </c>
      <c r="R84" s="1">
        <v>55.89432245</v>
      </c>
      <c r="S84" s="1">
        <v>57.39071654</v>
      </c>
      <c r="T84" s="1">
        <v>58.70704052</v>
      </c>
      <c r="U84" s="1">
        <v>60.02336449</v>
      </c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ht="12.75" customHeight="1">
      <c r="A85" s="1"/>
      <c r="B85" s="1">
        <v>13.0</v>
      </c>
      <c r="C85" s="1">
        <v>3.970201289</v>
      </c>
      <c r="D85" s="1">
        <v>4.295144804</v>
      </c>
      <c r="E85" s="1">
        <v>10.11286189</v>
      </c>
      <c r="F85" s="1">
        <v>29.38396426</v>
      </c>
      <c r="G85" s="1">
        <v>33.63879957</v>
      </c>
      <c r="H85" s="1">
        <v>37.23922734</v>
      </c>
      <c r="I85" s="1">
        <v>39.93933589</v>
      </c>
      <c r="J85" s="1">
        <v>41.70223819</v>
      </c>
      <c r="K85" s="1">
        <v>43.46514048</v>
      </c>
      <c r="L85" s="1">
        <v>45.08255174</v>
      </c>
      <c r="M85" s="1">
        <v>46.699963</v>
      </c>
      <c r="N85" s="1">
        <v>48.02633809</v>
      </c>
      <c r="O85" s="1">
        <v>49.35271318</v>
      </c>
      <c r="P85" s="1">
        <v>50.91922538</v>
      </c>
      <c r="Q85" s="1">
        <v>52.48573757</v>
      </c>
      <c r="R85" s="1">
        <v>53.55865826</v>
      </c>
      <c r="S85" s="1">
        <v>54.63157895</v>
      </c>
      <c r="T85" s="1">
        <v>55.73169561</v>
      </c>
      <c r="U85" s="1">
        <v>56.83181226</v>
      </c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ht="12.75" customHeight="1">
      <c r="A86" s="1"/>
      <c r="B86" s="1">
        <v>13.5</v>
      </c>
      <c r="C86" s="1">
        <v>3.822884417</v>
      </c>
      <c r="D86" s="1">
        <v>4.345455754</v>
      </c>
      <c r="E86" s="1">
        <v>12.52839055</v>
      </c>
      <c r="F86" s="1">
        <v>26.99478488</v>
      </c>
      <c r="G86" s="1">
        <v>32.40133265</v>
      </c>
      <c r="H86" s="1">
        <v>35.65497896</v>
      </c>
      <c r="I86" s="1">
        <v>37.72876304</v>
      </c>
      <c r="J86" s="1">
        <v>39.46464109</v>
      </c>
      <c r="K86" s="1">
        <v>41.20051914</v>
      </c>
      <c r="L86" s="1">
        <v>42.64946811</v>
      </c>
      <c r="M86" s="1">
        <v>44.09841707</v>
      </c>
      <c r="N86" s="1">
        <v>45.54213563</v>
      </c>
      <c r="O86" s="1">
        <v>46.98585419</v>
      </c>
      <c r="P86" s="1">
        <v>48.02693687</v>
      </c>
      <c r="Q86" s="1">
        <v>49.06801954</v>
      </c>
      <c r="R86" s="1">
        <v>50.5659121</v>
      </c>
      <c r="S86" s="1">
        <v>52.06380465</v>
      </c>
      <c r="T86" s="1">
        <v>53.2149435</v>
      </c>
      <c r="U86" s="1">
        <v>54.36608235</v>
      </c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ht="12.75" customHeight="1">
      <c r="A87" s="1"/>
      <c r="B87" s="1">
        <v>14.0</v>
      </c>
      <c r="C87" s="1">
        <v>3.706424303</v>
      </c>
      <c r="D87" s="1">
        <v>4.078357482</v>
      </c>
      <c r="E87" s="1">
        <v>10.26605299</v>
      </c>
      <c r="F87" s="1">
        <v>24.30934822</v>
      </c>
      <c r="G87" s="1">
        <v>30.64105642</v>
      </c>
      <c r="H87" s="1">
        <v>33.40843594</v>
      </c>
      <c r="I87" s="1">
        <v>35.82352941</v>
      </c>
      <c r="J87" s="1">
        <v>37.26587492</v>
      </c>
      <c r="K87" s="1">
        <v>38.70822042</v>
      </c>
      <c r="L87" s="1">
        <v>40.04811149</v>
      </c>
      <c r="M87" s="1">
        <v>41.38800255</v>
      </c>
      <c r="N87" s="1">
        <v>42.62376716</v>
      </c>
      <c r="O87" s="1">
        <v>43.85953177</v>
      </c>
      <c r="P87" s="1">
        <v>45.27598733</v>
      </c>
      <c r="Q87" s="1">
        <v>46.69244288</v>
      </c>
      <c r="R87" s="1">
        <v>47.5466556</v>
      </c>
      <c r="S87" s="1">
        <v>48.40086831</v>
      </c>
      <c r="T87" s="1">
        <v>49.67689367</v>
      </c>
      <c r="U87" s="1">
        <v>50.95291902</v>
      </c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ht="12.75" customHeight="1">
      <c r="A88" s="1"/>
      <c r="B88" s="1">
        <v>14.5</v>
      </c>
      <c r="C88" s="1">
        <v>3.689764333</v>
      </c>
      <c r="D88" s="1">
        <v>4.000122197</v>
      </c>
      <c r="E88" s="1">
        <v>3.430254231</v>
      </c>
      <c r="F88" s="1">
        <v>24.54403131</v>
      </c>
      <c r="G88" s="1">
        <v>27.97482332</v>
      </c>
      <c r="H88" s="1">
        <v>31.81213018</v>
      </c>
      <c r="I88" s="1">
        <v>33.24045408</v>
      </c>
      <c r="J88" s="1">
        <v>34.71872035</v>
      </c>
      <c r="K88" s="1">
        <v>36.19698661</v>
      </c>
      <c r="L88" s="1">
        <v>37.35084348</v>
      </c>
      <c r="M88" s="1">
        <v>38.50470035</v>
      </c>
      <c r="N88" s="1">
        <v>39.8144437</v>
      </c>
      <c r="O88" s="1">
        <v>41.12418705</v>
      </c>
      <c r="P88" s="1">
        <v>41.98609353</v>
      </c>
      <c r="Q88" s="1">
        <v>42.848</v>
      </c>
      <c r="R88" s="1">
        <v>44.32760634</v>
      </c>
      <c r="S88" s="1">
        <v>45.80721267</v>
      </c>
      <c r="T88" s="1">
        <v>46.91724747</v>
      </c>
      <c r="U88" s="1">
        <v>48.02728227</v>
      </c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ht="12.75" customHeight="1">
      <c r="A89" s="1"/>
      <c r="B89" s="1">
        <v>15.0</v>
      </c>
      <c r="C89" s="1">
        <v>3.652571429</v>
      </c>
      <c r="D89" s="1">
        <v>3.815679234</v>
      </c>
      <c r="E89" s="1">
        <v>3.578803419</v>
      </c>
      <c r="F89" s="1">
        <v>5.102026457</v>
      </c>
      <c r="G89" s="1">
        <v>26.83714106</v>
      </c>
      <c r="H89" s="1">
        <v>28.86669659</v>
      </c>
      <c r="I89" s="1">
        <v>30.93451243</v>
      </c>
      <c r="J89" s="1">
        <v>32.14797142</v>
      </c>
      <c r="K89" s="1">
        <v>33.3614304</v>
      </c>
      <c r="L89" s="1">
        <v>34.5614293</v>
      </c>
      <c r="M89" s="1">
        <v>35.76142819</v>
      </c>
      <c r="N89" s="1">
        <v>36.6694029</v>
      </c>
      <c r="O89" s="1">
        <v>37.5773776</v>
      </c>
      <c r="P89" s="1">
        <v>38.94015895</v>
      </c>
      <c r="Q89" s="1">
        <v>40.3029403</v>
      </c>
      <c r="R89" s="1">
        <v>41.25676572</v>
      </c>
      <c r="S89" s="1">
        <v>42.21059113</v>
      </c>
      <c r="T89" s="1">
        <v>43.07956494</v>
      </c>
      <c r="U89" s="1">
        <v>43.94853875</v>
      </c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ht="12.75" customHeight="1">
      <c r="A90" s="1"/>
      <c r="B90" s="1">
        <v>15.5</v>
      </c>
      <c r="C90" s="1">
        <v>3.526950117</v>
      </c>
      <c r="D90" s="1">
        <v>3.887230514</v>
      </c>
      <c r="E90" s="1">
        <v>3.238134658</v>
      </c>
      <c r="F90" s="1">
        <v>4.701322389</v>
      </c>
      <c r="G90" s="1">
        <v>23.71551886</v>
      </c>
      <c r="H90" s="1">
        <v>26.56262919</v>
      </c>
      <c r="I90" s="1">
        <v>28.65464937</v>
      </c>
      <c r="J90" s="1">
        <v>29.71184989</v>
      </c>
      <c r="K90" s="1">
        <v>30.76905041</v>
      </c>
      <c r="L90" s="1">
        <v>31.61371228</v>
      </c>
      <c r="M90" s="1">
        <v>32.45837414</v>
      </c>
      <c r="N90" s="1">
        <v>33.64645698</v>
      </c>
      <c r="O90" s="1">
        <v>34.83453981</v>
      </c>
      <c r="P90" s="1">
        <v>35.65461253</v>
      </c>
      <c r="Q90" s="1">
        <v>36.47468524</v>
      </c>
      <c r="R90" s="1">
        <v>37.53384612</v>
      </c>
      <c r="S90" s="1">
        <v>38.59300699</v>
      </c>
      <c r="T90" s="1">
        <v>39.84243834</v>
      </c>
      <c r="U90" s="1">
        <v>41.09186968</v>
      </c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ht="12.75" customHeight="1">
      <c r="A91" s="1"/>
      <c r="B91" s="1">
        <v>16.0</v>
      </c>
      <c r="C91" s="1">
        <v>3.557473876</v>
      </c>
      <c r="D91" s="1">
        <v>3.616113481</v>
      </c>
      <c r="E91" s="1">
        <v>3.2864068</v>
      </c>
      <c r="F91" s="1">
        <v>4.11706407</v>
      </c>
      <c r="G91" s="1">
        <v>20.17754398</v>
      </c>
      <c r="H91" s="1">
        <v>24.72317679</v>
      </c>
      <c r="I91" s="1">
        <v>25.66131271</v>
      </c>
      <c r="J91" s="1">
        <v>26.88341159</v>
      </c>
      <c r="K91" s="1">
        <v>28.10551047</v>
      </c>
      <c r="L91" s="1">
        <v>28.92985021</v>
      </c>
      <c r="M91" s="1">
        <v>29.75418994</v>
      </c>
      <c r="N91" s="1">
        <v>30.56711126</v>
      </c>
      <c r="O91" s="1">
        <v>31.38003258</v>
      </c>
      <c r="P91" s="1">
        <v>32.28346289</v>
      </c>
      <c r="Q91" s="1">
        <v>33.1868932</v>
      </c>
      <c r="R91" s="1">
        <v>34.37023003</v>
      </c>
      <c r="S91" s="1">
        <v>35.55356686</v>
      </c>
      <c r="T91" s="1">
        <v>36.30673857</v>
      </c>
      <c r="U91" s="1">
        <v>37.05991027</v>
      </c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ht="12.75" customHeight="1">
      <c r="A92" s="1"/>
      <c r="B92" s="1">
        <v>16.5</v>
      </c>
      <c r="C92" s="1">
        <v>3.428720627</v>
      </c>
      <c r="D92" s="1">
        <v>3.6352</v>
      </c>
      <c r="E92" s="1">
        <v>3.790163585</v>
      </c>
      <c r="F92" s="1">
        <v>3.94085697</v>
      </c>
      <c r="G92" s="1">
        <v>16.67748307</v>
      </c>
      <c r="H92" s="1">
        <v>21.36378962</v>
      </c>
      <c r="I92" s="1">
        <v>23.25996753</v>
      </c>
      <c r="J92" s="1">
        <v>24.24591604</v>
      </c>
      <c r="K92" s="1">
        <v>25.23186454</v>
      </c>
      <c r="L92" s="1">
        <v>26.05456772</v>
      </c>
      <c r="M92" s="1">
        <v>26.87727089</v>
      </c>
      <c r="N92" s="1">
        <v>27.51824264</v>
      </c>
      <c r="O92" s="1">
        <v>28.15921438</v>
      </c>
      <c r="P92" s="1">
        <v>29.17419584</v>
      </c>
      <c r="Q92" s="1">
        <v>30.1891773</v>
      </c>
      <c r="R92" s="1">
        <v>30.8569154</v>
      </c>
      <c r="S92" s="1">
        <v>31.52465349</v>
      </c>
      <c r="T92" s="1">
        <v>32.4179402</v>
      </c>
      <c r="U92" s="1">
        <v>33.31122691</v>
      </c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ht="12.75" customHeight="1">
      <c r="A93" s="1"/>
      <c r="B93" s="1">
        <v>17.0</v>
      </c>
      <c r="C93" s="1">
        <v>3.433717154</v>
      </c>
      <c r="D93" s="1">
        <v>3.548580868</v>
      </c>
      <c r="E93" s="1">
        <v>3.581351294</v>
      </c>
      <c r="F93" s="1">
        <v>3.679850347</v>
      </c>
      <c r="G93" s="1">
        <v>7.533205344</v>
      </c>
      <c r="H93" s="1">
        <v>18.11536768</v>
      </c>
      <c r="I93" s="1">
        <v>21.48006645</v>
      </c>
      <c r="J93" s="1">
        <v>22.06960825</v>
      </c>
      <c r="K93" s="1">
        <v>22.65915004</v>
      </c>
      <c r="L93" s="1">
        <v>23.312396</v>
      </c>
      <c r="M93" s="1">
        <v>23.96564195</v>
      </c>
      <c r="N93" s="1">
        <v>24.64641631</v>
      </c>
      <c r="O93" s="1">
        <v>25.32719067</v>
      </c>
      <c r="P93" s="1">
        <v>25.99757933</v>
      </c>
      <c r="Q93" s="1">
        <v>26.66796799</v>
      </c>
      <c r="R93" s="1">
        <v>27.35099149</v>
      </c>
      <c r="S93" s="1">
        <v>28.03401498</v>
      </c>
      <c r="T93" s="1">
        <v>29.10363851</v>
      </c>
      <c r="U93" s="1">
        <v>30.17326203</v>
      </c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ht="12.75" customHeight="1">
      <c r="A94" s="1"/>
      <c r="B94" s="1">
        <v>17.5</v>
      </c>
      <c r="C94" s="1">
        <v>3.344067135</v>
      </c>
      <c r="D94" s="1">
        <v>3.440741669</v>
      </c>
      <c r="E94" s="1">
        <v>3.644788818</v>
      </c>
      <c r="F94" s="1">
        <v>3.73545083</v>
      </c>
      <c r="G94" s="1">
        <v>7.059926471</v>
      </c>
      <c r="H94" s="1">
        <v>15.2268395</v>
      </c>
      <c r="I94" s="1">
        <v>18.3115942</v>
      </c>
      <c r="J94" s="1">
        <v>19.35658142</v>
      </c>
      <c r="K94" s="1">
        <v>20.40156863</v>
      </c>
      <c r="L94" s="1">
        <v>20.82850741</v>
      </c>
      <c r="M94" s="1">
        <v>21.25544618</v>
      </c>
      <c r="N94" s="1">
        <v>21.85467582</v>
      </c>
      <c r="O94" s="1">
        <v>22.45390546</v>
      </c>
      <c r="P94" s="1">
        <v>22.89218435</v>
      </c>
      <c r="Q94" s="1">
        <v>23.33046323</v>
      </c>
      <c r="R94" s="1">
        <v>24.16296999</v>
      </c>
      <c r="S94" s="1">
        <v>24.99547675</v>
      </c>
      <c r="T94" s="1">
        <v>25.79099851</v>
      </c>
      <c r="U94" s="1">
        <v>26.58652026</v>
      </c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ht="12.75" customHeight="1">
      <c r="A95" s="1"/>
      <c r="B95" s="1">
        <v>18.0</v>
      </c>
      <c r="C95" s="1">
        <v>3.331433998</v>
      </c>
      <c r="D95" s="1">
        <v>3.462795616</v>
      </c>
      <c r="E95" s="1">
        <v>3.511916295</v>
      </c>
      <c r="F95" s="1">
        <v>3.593364274</v>
      </c>
      <c r="G95" s="1">
        <v>3.815438773</v>
      </c>
      <c r="H95" s="1">
        <v>14.01220084</v>
      </c>
      <c r="I95" s="1">
        <v>15.17117341</v>
      </c>
      <c r="J95" s="1">
        <v>16.64848244</v>
      </c>
      <c r="K95" s="1">
        <v>18.12579147</v>
      </c>
      <c r="L95" s="1">
        <v>18.46183038</v>
      </c>
      <c r="M95" s="1">
        <v>18.79786928</v>
      </c>
      <c r="N95" s="1">
        <v>19.22595766</v>
      </c>
      <c r="O95" s="1">
        <v>19.65404603</v>
      </c>
      <c r="P95" s="1">
        <v>20.11686701</v>
      </c>
      <c r="Q95" s="1">
        <v>20.57968798</v>
      </c>
      <c r="R95" s="1">
        <v>21.21836984</v>
      </c>
      <c r="S95" s="1">
        <v>21.85705169</v>
      </c>
      <c r="T95" s="1">
        <v>22.18280179</v>
      </c>
      <c r="U95" s="1">
        <v>22.50855188</v>
      </c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ht="12.75" customHeight="1">
      <c r="A96" s="1"/>
      <c r="B96" s="1">
        <v>18.5</v>
      </c>
      <c r="C96" s="1">
        <v>3.252697529</v>
      </c>
      <c r="D96" s="1">
        <v>3.36786849</v>
      </c>
      <c r="E96" s="1">
        <v>3.421907857</v>
      </c>
      <c r="F96" s="1">
        <v>3.491295938</v>
      </c>
      <c r="G96" s="1">
        <v>3.515313563</v>
      </c>
      <c r="H96" s="1">
        <v>6.15846851</v>
      </c>
      <c r="I96" s="1">
        <v>11.65924727</v>
      </c>
      <c r="J96" s="1">
        <v>13.54998652</v>
      </c>
      <c r="K96" s="1">
        <v>15.44072576</v>
      </c>
      <c r="L96" s="1">
        <v>16.02411803</v>
      </c>
      <c r="M96" s="1">
        <v>16.60751029</v>
      </c>
      <c r="N96" s="1">
        <v>16.88765746</v>
      </c>
      <c r="O96" s="1">
        <v>17.16780462</v>
      </c>
      <c r="P96" s="1">
        <v>17.55069945</v>
      </c>
      <c r="Q96" s="1">
        <v>17.93359428</v>
      </c>
      <c r="R96" s="1">
        <v>18.3112755</v>
      </c>
      <c r="S96" s="1">
        <v>18.68895671</v>
      </c>
      <c r="T96" s="1">
        <v>19.05597572</v>
      </c>
      <c r="U96" s="1">
        <v>19.42299473</v>
      </c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ht="12.75" customHeight="1">
      <c r="A97" s="1"/>
      <c r="B97" s="1">
        <v>19.0</v>
      </c>
      <c r="C97" s="1">
        <v>3.248593926</v>
      </c>
      <c r="D97" s="1">
        <v>3.318975393</v>
      </c>
      <c r="E97" s="1">
        <v>3.461609027</v>
      </c>
      <c r="F97" s="1">
        <v>3.530429901</v>
      </c>
      <c r="G97" s="1">
        <v>3.508522727</v>
      </c>
      <c r="H97" s="1">
        <v>5.618961353</v>
      </c>
      <c r="I97" s="1">
        <v>9.333333333</v>
      </c>
      <c r="J97" s="1">
        <v>11.19160273</v>
      </c>
      <c r="K97" s="1">
        <v>13.04987212</v>
      </c>
      <c r="L97" s="1">
        <v>13.93750723</v>
      </c>
      <c r="M97" s="1">
        <v>14.82514233</v>
      </c>
      <c r="N97" s="1">
        <v>14.88237372</v>
      </c>
      <c r="O97" s="1">
        <v>14.93960511</v>
      </c>
      <c r="P97" s="1">
        <v>15.23522879</v>
      </c>
      <c r="Q97" s="1">
        <v>15.53085246</v>
      </c>
      <c r="R97" s="1">
        <v>15.7541617</v>
      </c>
      <c r="S97" s="1">
        <v>15.97747093</v>
      </c>
      <c r="T97" s="1">
        <v>16.35972536</v>
      </c>
      <c r="U97" s="1">
        <v>16.74197978</v>
      </c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ht="12.75" customHeight="1">
      <c r="A98" s="1"/>
      <c r="B98" s="1">
        <v>19.5</v>
      </c>
      <c r="C98" s="1">
        <v>3.240768996</v>
      </c>
      <c r="D98" s="1">
        <v>3.32745703</v>
      </c>
      <c r="E98" s="1">
        <v>3.345431734</v>
      </c>
      <c r="F98" s="1">
        <v>3.395508874</v>
      </c>
      <c r="G98" s="1">
        <v>3.569487226</v>
      </c>
      <c r="H98" s="1">
        <v>3.511209931</v>
      </c>
      <c r="I98" s="1">
        <v>3.604867174</v>
      </c>
      <c r="J98" s="1">
        <v>7.287096732</v>
      </c>
      <c r="K98" s="1">
        <v>10.96932629</v>
      </c>
      <c r="L98" s="1">
        <v>11.81494305</v>
      </c>
      <c r="M98" s="1">
        <v>12.6605598</v>
      </c>
      <c r="N98" s="1">
        <v>12.85514292</v>
      </c>
      <c r="O98" s="1">
        <v>13.04972604</v>
      </c>
      <c r="P98" s="1">
        <v>13.33127355</v>
      </c>
      <c r="Q98" s="1">
        <v>13.61282106</v>
      </c>
      <c r="R98" s="1">
        <v>13.72479753</v>
      </c>
      <c r="S98" s="1">
        <v>13.83677399</v>
      </c>
      <c r="T98" s="1">
        <v>14.07355941</v>
      </c>
      <c r="U98" s="1">
        <v>14.31034483</v>
      </c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ht="12.75" customHeight="1">
      <c r="A99" s="1"/>
      <c r="B99" s="1">
        <v>20.0</v>
      </c>
      <c r="C99" s="1">
        <v>3.14547943</v>
      </c>
      <c r="D99" s="1">
        <v>3.256865086</v>
      </c>
      <c r="E99" s="1">
        <v>3.309052613</v>
      </c>
      <c r="F99" s="1">
        <v>3.358569088</v>
      </c>
      <c r="G99" s="1">
        <v>3.373617097</v>
      </c>
      <c r="H99" s="1">
        <v>3.569342738</v>
      </c>
      <c r="I99" s="1">
        <v>3.453221238</v>
      </c>
      <c r="J99" s="1">
        <v>6.980564489</v>
      </c>
      <c r="K99" s="1">
        <v>10.50790774</v>
      </c>
      <c r="L99" s="1">
        <v>10.62023139</v>
      </c>
      <c r="M99" s="1">
        <v>10.73255503</v>
      </c>
      <c r="N99" s="1">
        <v>11.14594011</v>
      </c>
      <c r="O99" s="1">
        <v>11.55932519</v>
      </c>
      <c r="P99" s="1">
        <v>11.76813989</v>
      </c>
      <c r="Q99" s="1">
        <v>11.97695458</v>
      </c>
      <c r="R99" s="1">
        <v>12.00312164</v>
      </c>
      <c r="S99" s="1">
        <v>12.0292887</v>
      </c>
      <c r="T99" s="1">
        <v>12.17601237</v>
      </c>
      <c r="U99" s="1">
        <v>12.32273603</v>
      </c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ht="12.75" customHeight="1">
      <c r="A100" s="1"/>
      <c r="B100" s="1">
        <v>20.5</v>
      </c>
      <c r="C100" s="1">
        <v>3.177881412</v>
      </c>
      <c r="D100" s="1">
        <v>3.232220671</v>
      </c>
      <c r="E100" s="1">
        <v>3.326575435</v>
      </c>
      <c r="F100" s="1">
        <v>3.383658589</v>
      </c>
      <c r="G100" s="1">
        <v>3.370791392</v>
      </c>
      <c r="H100" s="1">
        <v>3.362106359</v>
      </c>
      <c r="I100" s="1">
        <v>3.491405906</v>
      </c>
      <c r="J100" s="1">
        <v>4.477624064</v>
      </c>
      <c r="K100" s="1">
        <v>5.463842221</v>
      </c>
      <c r="L100" s="1">
        <v>7.197978147</v>
      </c>
      <c r="M100" s="1">
        <v>8.932114073</v>
      </c>
      <c r="N100" s="1">
        <v>9.787086412</v>
      </c>
      <c r="O100" s="1">
        <v>10.64205875</v>
      </c>
      <c r="P100" s="1">
        <v>10.54630831</v>
      </c>
      <c r="Q100" s="1">
        <v>10.45055787</v>
      </c>
      <c r="R100" s="1">
        <v>10.53477825</v>
      </c>
      <c r="S100" s="1">
        <v>10.61899863</v>
      </c>
      <c r="T100" s="1">
        <v>10.70744263</v>
      </c>
      <c r="U100" s="1">
        <v>10.79588662</v>
      </c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ht="12.75" customHeight="1">
      <c r="A101" s="1"/>
      <c r="B101" s="1">
        <v>21.0</v>
      </c>
      <c r="C101" s="1">
        <v>3.170167897</v>
      </c>
      <c r="D101" s="1">
        <v>3.232534317</v>
      </c>
      <c r="E101" s="1">
        <v>3.248434065</v>
      </c>
      <c r="F101" s="1">
        <v>3.288683025</v>
      </c>
      <c r="G101" s="1">
        <v>3.404121901</v>
      </c>
      <c r="H101" s="1">
        <v>3.363038404</v>
      </c>
      <c r="I101" s="1">
        <v>3.424977691</v>
      </c>
      <c r="J101" s="1">
        <v>3.448230127</v>
      </c>
      <c r="K101" s="1">
        <v>3.471482563</v>
      </c>
      <c r="L101" s="1">
        <v>3.4952377</v>
      </c>
      <c r="M101" s="1">
        <v>3.518992837</v>
      </c>
      <c r="N101" s="1">
        <v>6.32812387</v>
      </c>
      <c r="O101" s="1">
        <v>9.137254902</v>
      </c>
      <c r="P101" s="1">
        <v>9.18668033</v>
      </c>
      <c r="Q101" s="1">
        <v>9.236105758</v>
      </c>
      <c r="R101" s="1">
        <v>9.37229879</v>
      </c>
      <c r="S101" s="1">
        <v>9.508491821</v>
      </c>
      <c r="T101" s="1">
        <v>9.677894775</v>
      </c>
      <c r="U101" s="1">
        <v>9.847297729</v>
      </c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</row>
  </sheetData>
  <mergeCells count="5">
    <mergeCell ref="AC2:AD2"/>
    <mergeCell ref="AI2:AJ2"/>
    <mergeCell ref="AK2:AL2"/>
    <mergeCell ref="AI53:AJ53"/>
    <mergeCell ref="AK53:AL5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41" width="8.0"/>
  </cols>
  <sheetData>
    <row r="1" ht="12.75" customHeight="1"/>
    <row r="2" ht="12.75" customHeight="1"/>
    <row r="3" ht="12.75" customHeight="1">
      <c r="C3" s="4" t="s">
        <v>0</v>
      </c>
      <c r="D3" s="4" t="s">
        <v>0</v>
      </c>
      <c r="E3" s="4" t="s">
        <v>0</v>
      </c>
      <c r="F3" s="4" t="s">
        <v>0</v>
      </c>
      <c r="G3" s="4" t="s">
        <v>0</v>
      </c>
      <c r="H3" s="4" t="s">
        <v>0</v>
      </c>
      <c r="I3" s="4" t="s">
        <v>0</v>
      </c>
      <c r="J3" s="4" t="s">
        <v>0</v>
      </c>
      <c r="K3" s="4" t="s">
        <v>0</v>
      </c>
      <c r="L3" s="4" t="s">
        <v>0</v>
      </c>
      <c r="M3" s="4" t="s">
        <v>0</v>
      </c>
      <c r="N3" s="4" t="s">
        <v>0</v>
      </c>
      <c r="O3" s="4" t="s">
        <v>0</v>
      </c>
      <c r="P3" s="4" t="s">
        <v>0</v>
      </c>
      <c r="Q3" s="4" t="s">
        <v>0</v>
      </c>
      <c r="R3" s="4" t="s">
        <v>0</v>
      </c>
      <c r="S3" s="4" t="s">
        <v>0</v>
      </c>
      <c r="T3" s="4" t="s">
        <v>0</v>
      </c>
      <c r="U3" s="4" t="s">
        <v>0</v>
      </c>
      <c r="W3" s="1" t="s">
        <v>1</v>
      </c>
      <c r="X3" s="1"/>
      <c r="Y3" s="1"/>
      <c r="Z3" s="1"/>
      <c r="AA3" s="1"/>
      <c r="AB3" s="1" t="s">
        <v>2</v>
      </c>
      <c r="AC3" s="1" t="s">
        <v>3</v>
      </c>
      <c r="AE3" s="1"/>
      <c r="AF3" s="1"/>
      <c r="AG3" s="1"/>
      <c r="AH3" s="1"/>
      <c r="AI3" s="1" t="s">
        <v>4</v>
      </c>
      <c r="AK3" s="1" t="s">
        <v>5</v>
      </c>
      <c r="AM3" s="1" t="s">
        <v>6</v>
      </c>
      <c r="AN3" s="1" t="s">
        <v>7</v>
      </c>
      <c r="AO3" s="1" t="s">
        <v>0</v>
      </c>
    </row>
    <row r="4" ht="12.75" customHeight="1">
      <c r="C4" s="5">
        <v>50000.0</v>
      </c>
      <c r="D4" s="5">
        <v>75000.0</v>
      </c>
      <c r="E4" s="5">
        <v>100000.0</v>
      </c>
      <c r="F4" s="5">
        <v>125000.0</v>
      </c>
      <c r="G4" s="5">
        <v>150000.0</v>
      </c>
      <c r="H4" s="5">
        <v>175000.0</v>
      </c>
      <c r="I4" s="5">
        <v>200000.0</v>
      </c>
      <c r="J4" s="5">
        <v>225000.0</v>
      </c>
      <c r="K4" s="5">
        <v>250000.0</v>
      </c>
      <c r="L4" s="5">
        <v>275000.0</v>
      </c>
      <c r="M4" s="5">
        <v>300000.0</v>
      </c>
      <c r="N4" s="5">
        <v>325000.0</v>
      </c>
      <c r="O4" s="5">
        <v>350000.0</v>
      </c>
      <c r="P4" s="5">
        <v>375000.0</v>
      </c>
      <c r="Q4" s="5">
        <v>400000.0</v>
      </c>
      <c r="R4" s="5">
        <v>425000.0</v>
      </c>
      <c r="S4" s="5">
        <v>450000.0</v>
      </c>
      <c r="T4" s="5">
        <v>475000.0</v>
      </c>
      <c r="U4" s="5">
        <v>500000.0</v>
      </c>
      <c r="W4" s="2" t="str">
        <f>IF('расчет'!R22&lt;50000,50000,'расчет'!R22)</f>
        <v>163883.2139</v>
      </c>
      <c r="X4" s="2" t="str">
        <f t="shared" ref="X4:X20" si="1">IF((W4&gt;475000),475000,(ROUNDDOWN((W4/25000),0))*25000)</f>
        <v>150000</v>
      </c>
      <c r="Y4" s="2" t="str">
        <f t="shared" ref="Y4:Y20" si="2">X4+25000</f>
        <v>175000</v>
      </c>
      <c r="Z4" s="2" t="str">
        <f t="shared" ref="Z4:Z20" si="3">IF((W4&gt;500000),0,(Y4-W4)/25000)</f>
        <v>0.444671445</v>
      </c>
      <c r="AA4" s="2" t="str">
        <f t="shared" ref="AA4:AA20" si="4">1-Z4</f>
        <v>0.555328555</v>
      </c>
      <c r="AB4" s="2" t="str">
        <f>'расчет'!P22</f>
        <v>7.018095386</v>
      </c>
      <c r="AC4" s="1">
        <v>-2.0</v>
      </c>
      <c r="AD4" s="1">
        <v>21.0</v>
      </c>
      <c r="AE4" s="2" t="str">
        <f t="shared" ref="AE4:AE20" si="6">IF(AB4&gt;0,ROUNDDOWN((AB4/0.5),0)*0.5,ROUNDUP((AB4/0.5),0)*0.5)</f>
        <v>7</v>
      </c>
      <c r="AF4" s="2" t="str">
        <f t="shared" ref="AF4:AF20" si="7">AE4+0.5</f>
        <v>7.5</v>
      </c>
      <c r="AG4" s="2" t="str">
        <f t="shared" ref="AG4:AG20" si="8">(AF4-AB4)/0.5</f>
        <v>0.9638092287</v>
      </c>
      <c r="AH4" s="2" t="str">
        <f t="shared" ref="AH4:AH20" si="9">1-AG4</f>
        <v>0.03619077129</v>
      </c>
      <c r="AI4" s="2" t="str">
        <f>VLOOKUP(AE4,B5:U51,(X4/25000),FALSE)</f>
        <v>1.2825</v>
      </c>
      <c r="AJ4" s="2" t="str">
        <f>VLOOKUP(AF4,B5:U51,(X4/25000),FALSE)</f>
        <v>1.2509</v>
      </c>
      <c r="AK4" s="2" t="str">
        <f>VLOOKUP(AE4,B5:U51,(Y4/25000),FALSE)</f>
        <v>1.2726</v>
      </c>
      <c r="AL4" s="2" t="str">
        <f>VLOOKUP(AF4,B5:U51,(Y4/25000),FALSE)</f>
        <v>1.2158</v>
      </c>
      <c r="AM4" s="2" t="str">
        <f t="shared" ref="AM4:AM20" si="10">AI4*AG4+AJ4*AH4</f>
        <v>1.281356372</v>
      </c>
      <c r="AN4" s="2" t="str">
        <f t="shared" ref="AN4:AN20" si="11">AK4*AG4+AL4*AH4</f>
        <v>1.270544364</v>
      </c>
      <c r="AO4" s="2" t="str">
        <f t="shared" ref="AO4:AO20" si="12">AM4*Z4+AN4*AA4</f>
        <v>1.275352155</v>
      </c>
    </row>
    <row r="5" ht="12.75" customHeight="1">
      <c r="B5" s="5">
        <v>-2.0</v>
      </c>
      <c r="C5" s="5">
        <v>0.01</v>
      </c>
      <c r="D5" s="5">
        <v>0.01</v>
      </c>
      <c r="E5" s="5">
        <v>0.01</v>
      </c>
      <c r="F5" s="5">
        <v>0.01</v>
      </c>
      <c r="G5" s="5">
        <v>0.0884</v>
      </c>
      <c r="H5" s="5">
        <v>0.1794</v>
      </c>
      <c r="I5" s="5">
        <v>0.2401</v>
      </c>
      <c r="J5" s="5">
        <v>0.27045</v>
      </c>
      <c r="K5" s="5">
        <v>0.3008</v>
      </c>
      <c r="L5" s="5">
        <v>0.371</v>
      </c>
      <c r="M5" s="5">
        <v>0.4412</v>
      </c>
      <c r="N5" s="5">
        <v>0.477</v>
      </c>
      <c r="O5" s="5">
        <v>0.5128</v>
      </c>
      <c r="P5" s="5">
        <v>0.53945</v>
      </c>
      <c r="Q5" s="5">
        <v>0.5661</v>
      </c>
      <c r="R5" s="5">
        <v>0.58095</v>
      </c>
      <c r="S5" s="5">
        <v>0.5958</v>
      </c>
      <c r="T5" s="5">
        <v>0.6024</v>
      </c>
      <c r="U5" s="5">
        <v>0.609</v>
      </c>
      <c r="W5" s="2" t="str">
        <f>IF('расчет'!R23&lt;50000,50000,'расчет'!R23)</f>
        <v>161126.0378</v>
      </c>
      <c r="X5" s="2" t="str">
        <f t="shared" si="1"/>
        <v>150000</v>
      </c>
      <c r="Y5" s="2" t="str">
        <f t="shared" si="2"/>
        <v>175000</v>
      </c>
      <c r="Z5" s="2" t="str">
        <f t="shared" si="3"/>
        <v>0.5549584897</v>
      </c>
      <c r="AA5" s="2" t="str">
        <f t="shared" si="4"/>
        <v>0.4450415103</v>
      </c>
      <c r="AB5" s="2" t="str">
        <f>'расчет'!P23</f>
        <v>7.75866912</v>
      </c>
      <c r="AC5" s="2" t="str">
        <f t="shared" ref="AC5:AD5" si="5">AC4</f>
        <v>-2</v>
      </c>
      <c r="AD5" s="2" t="str">
        <f t="shared" si="5"/>
        <v>21</v>
      </c>
      <c r="AE5" s="2" t="str">
        <f t="shared" si="6"/>
        <v>7.5</v>
      </c>
      <c r="AF5" s="2" t="str">
        <f t="shared" si="7"/>
        <v>8</v>
      </c>
      <c r="AG5" s="2" t="str">
        <f t="shared" si="8"/>
        <v>0.4826617596</v>
      </c>
      <c r="AH5" s="2" t="str">
        <f t="shared" si="9"/>
        <v>0.5173382404</v>
      </c>
      <c r="AI5" s="2" t="str">
        <f>VLOOKUP(AE5,B5:U51,(X5/25000),FALSE)</f>
        <v>1.2509</v>
      </c>
      <c r="AJ5" s="2" t="str">
        <f>VLOOKUP(AF5,B5:U51,(X5/25000),FALSE)</f>
        <v>1.2064</v>
      </c>
      <c r="AK5" s="2" t="str">
        <f>VLOOKUP(AE5,B5:U51,(Y5/25000),FALSE)</f>
        <v>1.2158</v>
      </c>
      <c r="AL5" s="2" t="str">
        <f>VLOOKUP(AF5,B5:U51,(Y5/25000),FALSE)</f>
        <v>1.1989</v>
      </c>
      <c r="AM5" s="2" t="str">
        <f t="shared" si="10"/>
        <v>1.227878448</v>
      </c>
      <c r="AN5" s="2" t="str">
        <f t="shared" si="11"/>
        <v>1.207056984</v>
      </c>
      <c r="AO5" s="2" t="str">
        <f t="shared" si="12"/>
        <v>1.218612032</v>
      </c>
    </row>
    <row r="6" ht="12.75" customHeight="1">
      <c r="B6" s="5">
        <v>-1.5</v>
      </c>
      <c r="C6" s="5">
        <v>0.01</v>
      </c>
      <c r="D6" s="5">
        <v>0.01</v>
      </c>
      <c r="E6" s="5">
        <v>0.01</v>
      </c>
      <c r="F6" s="5">
        <v>0.1124</v>
      </c>
      <c r="G6" s="5">
        <v>0.1553</v>
      </c>
      <c r="H6" s="5">
        <v>0.2413</v>
      </c>
      <c r="I6" s="5">
        <v>0.31885</v>
      </c>
      <c r="J6" s="5">
        <v>0.357625</v>
      </c>
      <c r="K6" s="5">
        <v>0.3964</v>
      </c>
      <c r="L6" s="5">
        <v>0.4437</v>
      </c>
      <c r="M6" s="5">
        <v>0.491</v>
      </c>
      <c r="N6" s="5">
        <v>0.54455</v>
      </c>
      <c r="O6" s="5">
        <v>0.5981</v>
      </c>
      <c r="P6" s="5">
        <v>0.61365</v>
      </c>
      <c r="Q6" s="5">
        <v>0.6292</v>
      </c>
      <c r="R6" s="5">
        <v>0.6329</v>
      </c>
      <c r="S6" s="5">
        <v>0.6366</v>
      </c>
      <c r="T6" s="5">
        <v>0.64505</v>
      </c>
      <c r="U6" s="5">
        <v>0.6535</v>
      </c>
      <c r="W6" s="2" t="str">
        <f>IF('расчет'!R24&lt;50000,50000,'расчет'!R24)</f>
        <v>158297.851</v>
      </c>
      <c r="X6" s="2" t="str">
        <f t="shared" si="1"/>
        <v>150000</v>
      </c>
      <c r="Y6" s="2" t="str">
        <f t="shared" si="2"/>
        <v>175000</v>
      </c>
      <c r="Z6" s="2" t="str">
        <f t="shared" si="3"/>
        <v>0.6680859584</v>
      </c>
      <c r="AA6" s="2" t="str">
        <f t="shared" si="4"/>
        <v>0.3319140416</v>
      </c>
      <c r="AB6" s="2" t="str">
        <f>'расчет'!P24</f>
        <v>8.407959642</v>
      </c>
      <c r="AC6" s="2" t="str">
        <f t="shared" ref="AC6:AD6" si="13">AC5</f>
        <v>-2</v>
      </c>
      <c r="AD6" s="2" t="str">
        <f t="shared" si="13"/>
        <v>21</v>
      </c>
      <c r="AE6" s="2" t="str">
        <f t="shared" si="6"/>
        <v>8</v>
      </c>
      <c r="AF6" s="2" t="str">
        <f t="shared" si="7"/>
        <v>8.5</v>
      </c>
      <c r="AG6" s="2" t="str">
        <f t="shared" si="8"/>
        <v>0.1840807162</v>
      </c>
      <c r="AH6" s="2" t="str">
        <f t="shared" si="9"/>
        <v>0.8159192838</v>
      </c>
      <c r="AI6" s="2" t="str">
        <f>VLOOKUP(AE6,B5:U51,(X6/25000),FALSE)</f>
        <v>1.2064</v>
      </c>
      <c r="AJ6" s="2" t="str">
        <f>VLOOKUP(AF6,B5:U51,(X6/25000),FALSE)</f>
        <v>1.21</v>
      </c>
      <c r="AK6" s="2" t="str">
        <f>VLOOKUP(AE6,B5:U51,(Y6/25000),FALSE)</f>
        <v>1.1989</v>
      </c>
      <c r="AL6" s="2" t="str">
        <f>VLOOKUP(AF6,B5:U51,(Y6/25000),FALSE)</f>
        <v>1.2113</v>
      </c>
      <c r="AM6" s="2" t="str">
        <f t="shared" si="10"/>
        <v>1.209337309</v>
      </c>
      <c r="AN6" s="2" t="str">
        <f t="shared" si="11"/>
        <v>1.209017399</v>
      </c>
      <c r="AO6" s="2" t="str">
        <f t="shared" si="12"/>
        <v>1.209231127</v>
      </c>
    </row>
    <row r="7" ht="12.75" customHeight="1">
      <c r="B7" s="5">
        <v>-1.0</v>
      </c>
      <c r="C7" s="5">
        <v>0.01</v>
      </c>
      <c r="D7" s="5">
        <v>0.01</v>
      </c>
      <c r="E7" s="5">
        <v>0.01</v>
      </c>
      <c r="F7" s="5">
        <v>0.1203</v>
      </c>
      <c r="G7" s="5">
        <v>0.2461</v>
      </c>
      <c r="H7" s="5">
        <v>0.29195</v>
      </c>
      <c r="I7" s="5">
        <v>0.351</v>
      </c>
      <c r="J7" s="5">
        <v>0.40845</v>
      </c>
      <c r="K7" s="5">
        <v>0.4659</v>
      </c>
      <c r="L7" s="5">
        <v>0.50335</v>
      </c>
      <c r="M7" s="5">
        <v>0.5408</v>
      </c>
      <c r="N7" s="5">
        <v>0.573</v>
      </c>
      <c r="O7" s="5">
        <v>0.6052</v>
      </c>
      <c r="P7" s="5">
        <v>0.6362</v>
      </c>
      <c r="Q7" s="5">
        <v>0.6672</v>
      </c>
      <c r="R7" s="5">
        <v>0.68305</v>
      </c>
      <c r="S7" s="5">
        <v>0.6989</v>
      </c>
      <c r="T7" s="5">
        <v>0.7083</v>
      </c>
      <c r="U7" s="5">
        <v>0.7177</v>
      </c>
      <c r="W7" s="2" t="str">
        <f>IF('расчет'!R25&lt;50000,50000,'расчет'!R25)</f>
        <v>155303.7932</v>
      </c>
      <c r="X7" s="2" t="str">
        <f t="shared" si="1"/>
        <v>150000</v>
      </c>
      <c r="Y7" s="2" t="str">
        <f t="shared" si="2"/>
        <v>175000</v>
      </c>
      <c r="Z7" s="2" t="str">
        <f t="shared" si="3"/>
        <v>0.7878482728</v>
      </c>
      <c r="AA7" s="2" t="str">
        <f t="shared" si="4"/>
        <v>0.2121517272</v>
      </c>
      <c r="AB7" s="2" t="str">
        <f>'расчет'!P25</f>
        <v>8.972215942</v>
      </c>
      <c r="AC7" s="2" t="str">
        <f t="shared" ref="AC7:AD7" si="14">AC6</f>
        <v>-2</v>
      </c>
      <c r="AD7" s="2" t="str">
        <f t="shared" si="14"/>
        <v>21</v>
      </c>
      <c r="AE7" s="2" t="str">
        <f t="shared" si="6"/>
        <v>8.5</v>
      </c>
      <c r="AF7" s="2" t="str">
        <f t="shared" si="7"/>
        <v>9</v>
      </c>
      <c r="AG7" s="2" t="str">
        <f t="shared" si="8"/>
        <v>0.05556811655</v>
      </c>
      <c r="AH7" s="2" t="str">
        <f t="shared" si="9"/>
        <v>0.9444318834</v>
      </c>
      <c r="AI7" s="2" t="str">
        <f>VLOOKUP(AE7,B5:U51,(X7/25000),FALSE)</f>
        <v>1.21</v>
      </c>
      <c r="AJ7" s="2" t="str">
        <f>VLOOKUP(AF7,B5:U51,(X7/25000),FALSE)</f>
        <v>1.225</v>
      </c>
      <c r="AK7" s="2" t="str">
        <f>VLOOKUP(AE7,B5:U51,(Y7/25000),FALSE)</f>
        <v>1.2113</v>
      </c>
      <c r="AL7" s="2" t="str">
        <f>VLOOKUP(AF7,B5:U51,(Y7/25000),FALSE)</f>
        <v>1.2255</v>
      </c>
      <c r="AM7" s="2" t="str">
        <f t="shared" si="10"/>
        <v>1.224166478</v>
      </c>
      <c r="AN7" s="2" t="str">
        <f t="shared" si="11"/>
        <v>1.224710933</v>
      </c>
      <c r="AO7" s="2" t="str">
        <f t="shared" si="12"/>
        <v>1.224281985</v>
      </c>
    </row>
    <row r="8" ht="12.75" customHeight="1">
      <c r="B8" s="5">
        <v>-0.5</v>
      </c>
      <c r="C8" s="5">
        <v>0.01</v>
      </c>
      <c r="D8" s="5">
        <v>0.01</v>
      </c>
      <c r="E8" s="5">
        <v>0.0665</v>
      </c>
      <c r="F8" s="5">
        <v>0.2082</v>
      </c>
      <c r="G8" s="5">
        <v>0.2554</v>
      </c>
      <c r="H8" s="5">
        <v>0.3426</v>
      </c>
      <c r="I8" s="5">
        <v>0.4093</v>
      </c>
      <c r="J8" s="5">
        <v>0.462525</v>
      </c>
      <c r="K8" s="5">
        <v>0.51575</v>
      </c>
      <c r="L8" s="5">
        <v>0.569925</v>
      </c>
      <c r="M8" s="5">
        <v>0.6241</v>
      </c>
      <c r="N8" s="5">
        <v>0.6608</v>
      </c>
      <c r="O8" s="5">
        <v>0.6975</v>
      </c>
      <c r="P8" s="5">
        <v>0.71915</v>
      </c>
      <c r="Q8" s="5">
        <v>0.7408</v>
      </c>
      <c r="R8" s="5">
        <v>0.75025</v>
      </c>
      <c r="S8" s="5">
        <v>0.7597</v>
      </c>
      <c r="T8" s="5">
        <v>0.7598</v>
      </c>
      <c r="U8" s="5">
        <v>0.7599</v>
      </c>
      <c r="W8" s="2" t="str">
        <f>IF('расчет'!R26&lt;50000,50000,'расчет'!R26)</f>
        <v>152048.384</v>
      </c>
      <c r="X8" s="2" t="str">
        <f t="shared" si="1"/>
        <v>150000</v>
      </c>
      <c r="Y8" s="2" t="str">
        <f t="shared" si="2"/>
        <v>175000</v>
      </c>
      <c r="Z8" s="2" t="str">
        <f t="shared" si="3"/>
        <v>0.9180646404</v>
      </c>
      <c r="AA8" s="2" t="str">
        <f t="shared" si="4"/>
        <v>0.08193535957</v>
      </c>
      <c r="AB8" s="2" t="str">
        <f>'расчет'!P26</f>
        <v>9.459475009</v>
      </c>
      <c r="AC8" s="2" t="str">
        <f t="shared" ref="AC8:AD8" si="15">AC7</f>
        <v>-2</v>
      </c>
      <c r="AD8" s="2" t="str">
        <f t="shared" si="15"/>
        <v>21</v>
      </c>
      <c r="AE8" s="2" t="str">
        <f t="shared" si="6"/>
        <v>9</v>
      </c>
      <c r="AF8" s="2" t="str">
        <f t="shared" si="7"/>
        <v>9.5</v>
      </c>
      <c r="AG8" s="2" t="str">
        <f t="shared" si="8"/>
        <v>0.08104998293</v>
      </c>
      <c r="AH8" s="2" t="str">
        <f t="shared" si="9"/>
        <v>0.9189500171</v>
      </c>
      <c r="AI8" s="2" t="str">
        <f>VLOOKUP(AE8,B5:U51,(X8/25000),FALSE)</f>
        <v>1.225</v>
      </c>
      <c r="AJ8" s="2" t="str">
        <f>VLOOKUP(AF8,B5:U51,(X8/25000),FALSE)</f>
        <v>1.2455</v>
      </c>
      <c r="AK8" s="2" t="str">
        <f>VLOOKUP(AE8,B5:U51,(Y8/25000),FALSE)</f>
        <v>1.2255</v>
      </c>
      <c r="AL8" s="2" t="str">
        <f>VLOOKUP(AF8,B5:U51,(Y8/25000),FALSE)</f>
        <v>1.2511</v>
      </c>
      <c r="AM8" s="2" t="str">
        <f t="shared" si="10"/>
        <v>1.243838475</v>
      </c>
      <c r="AN8" s="2" t="str">
        <f t="shared" si="11"/>
        <v>1.24902512</v>
      </c>
      <c r="AO8" s="2" t="str">
        <f t="shared" si="12"/>
        <v>1.244263445</v>
      </c>
    </row>
    <row r="9" ht="12.75" customHeight="1">
      <c r="B9" s="5">
        <v>0.0</v>
      </c>
      <c r="C9" s="5">
        <v>0.01</v>
      </c>
      <c r="D9" s="5">
        <v>0.01</v>
      </c>
      <c r="E9" s="5">
        <v>0.10305</v>
      </c>
      <c r="F9" s="5">
        <v>0.2695</v>
      </c>
      <c r="G9" s="5">
        <v>0.3483</v>
      </c>
      <c r="H9" s="5">
        <v>0.4271</v>
      </c>
      <c r="I9" s="5">
        <v>0.4899</v>
      </c>
      <c r="J9" s="5">
        <v>0.52775</v>
      </c>
      <c r="K9" s="5">
        <v>0.5656</v>
      </c>
      <c r="L9" s="5">
        <v>0.64905</v>
      </c>
      <c r="M9" s="5">
        <v>0.7325</v>
      </c>
      <c r="N9" s="5">
        <v>0.7455</v>
      </c>
      <c r="O9" s="5">
        <v>0.7585</v>
      </c>
      <c r="P9" s="5">
        <v>0.76935</v>
      </c>
      <c r="Q9" s="5">
        <v>0.7802</v>
      </c>
      <c r="R9" s="5">
        <v>0.79</v>
      </c>
      <c r="S9" s="5">
        <v>0.7998</v>
      </c>
      <c r="T9" s="5">
        <v>0.80705</v>
      </c>
      <c r="U9" s="5">
        <v>0.8143</v>
      </c>
      <c r="W9" s="2" t="str">
        <f>IF('расчет'!R27&lt;50000,50000,'расчет'!R27)</f>
        <v>148436.2342</v>
      </c>
      <c r="X9" s="2" t="str">
        <f t="shared" si="1"/>
        <v>125000</v>
      </c>
      <c r="Y9" s="2" t="str">
        <f t="shared" si="2"/>
        <v>150000</v>
      </c>
      <c r="Z9" s="2" t="str">
        <f t="shared" si="3"/>
        <v>0.06255063385</v>
      </c>
      <c r="AA9" s="2" t="str">
        <f t="shared" si="4"/>
        <v>0.9374493661</v>
      </c>
      <c r="AB9" s="2" t="str">
        <f>'расчет'!P27</f>
        <v>9.880167544</v>
      </c>
      <c r="AC9" s="2" t="str">
        <f t="shared" ref="AC9:AD9" si="16">AC8</f>
        <v>-2</v>
      </c>
      <c r="AD9" s="2" t="str">
        <f t="shared" si="16"/>
        <v>21</v>
      </c>
      <c r="AE9" s="2" t="str">
        <f t="shared" si="6"/>
        <v>9.5</v>
      </c>
      <c r="AF9" s="2" t="str">
        <f t="shared" si="7"/>
        <v>10</v>
      </c>
      <c r="AG9" s="2" t="str">
        <f t="shared" si="8"/>
        <v>0.2396649114</v>
      </c>
      <c r="AH9" s="2" t="str">
        <f t="shared" si="9"/>
        <v>0.7603350886</v>
      </c>
      <c r="AI9" s="2" t="str">
        <f>VLOOKUP(AE9,B5:U51,(X9/25000),FALSE)</f>
        <v>1.2434</v>
      </c>
      <c r="AJ9" s="2" t="str">
        <f>VLOOKUP(AF9,B5:U51,(X9/25000),FALSE)</f>
        <v>1.2772</v>
      </c>
      <c r="AK9" s="2" t="str">
        <f>VLOOKUP(AE9,B5:U51,(Y9/25000),FALSE)</f>
        <v>1.2455</v>
      </c>
      <c r="AL9" s="2" t="str">
        <f>VLOOKUP(AF9,B5:U51,(Y9/25000),FALSE)</f>
        <v>1.2769</v>
      </c>
      <c r="AM9" s="2" t="str">
        <f t="shared" si="10"/>
        <v>1.269099326</v>
      </c>
      <c r="AN9" s="2" t="str">
        <f t="shared" si="11"/>
        <v>1.269374522</v>
      </c>
      <c r="AO9" s="2" t="str">
        <f t="shared" si="12"/>
        <v>1.269357308</v>
      </c>
    </row>
    <row r="10" ht="12.75" customHeight="1">
      <c r="B10" s="5">
        <v>0.5</v>
      </c>
      <c r="C10" s="5">
        <v>0.01</v>
      </c>
      <c r="D10" s="5">
        <v>0.01</v>
      </c>
      <c r="E10" s="5">
        <v>0.14635</v>
      </c>
      <c r="F10" s="5">
        <v>0.2908</v>
      </c>
      <c r="G10" s="5">
        <v>0.375066667</v>
      </c>
      <c r="H10" s="5">
        <v>0.459333333</v>
      </c>
      <c r="I10" s="5">
        <v>0.5289</v>
      </c>
      <c r="J10" s="5">
        <v>0.59085</v>
      </c>
      <c r="K10" s="5">
        <v>0.6528</v>
      </c>
      <c r="L10" s="5">
        <v>0.7172</v>
      </c>
      <c r="M10" s="5">
        <v>0.7816</v>
      </c>
      <c r="N10" s="5">
        <v>0.79315</v>
      </c>
      <c r="O10" s="5">
        <v>0.8047</v>
      </c>
      <c r="P10" s="5">
        <v>0.82405</v>
      </c>
      <c r="Q10" s="5">
        <v>0.8434</v>
      </c>
      <c r="R10" s="5">
        <v>0.85445</v>
      </c>
      <c r="S10" s="5">
        <v>0.8655</v>
      </c>
      <c r="T10" s="5">
        <v>0.8633</v>
      </c>
      <c r="U10" s="5">
        <v>0.8611</v>
      </c>
      <c r="W10" s="2" t="str">
        <f>IF('расчет'!R28&lt;50000,50000,'расчет'!R28)</f>
        <v>144372.9701</v>
      </c>
      <c r="X10" s="2" t="str">
        <f t="shared" si="1"/>
        <v>125000</v>
      </c>
      <c r="Y10" s="2" t="str">
        <f t="shared" si="2"/>
        <v>150000</v>
      </c>
      <c r="Z10" s="2" t="str">
        <f t="shared" si="3"/>
        <v>0.2250811965</v>
      </c>
      <c r="AA10" s="2" t="str">
        <f t="shared" si="4"/>
        <v>0.7749188035</v>
      </c>
      <c r="AB10" s="2" t="str">
        <f>'расчет'!P28</f>
        <v>10.2479629</v>
      </c>
      <c r="AC10" s="2" t="str">
        <f t="shared" ref="AC10:AD10" si="17">AC9</f>
        <v>-2</v>
      </c>
      <c r="AD10" s="2" t="str">
        <f t="shared" si="17"/>
        <v>21</v>
      </c>
      <c r="AE10" s="2" t="str">
        <f t="shared" si="6"/>
        <v>10</v>
      </c>
      <c r="AF10" s="2" t="str">
        <f t="shared" si="7"/>
        <v>10.5</v>
      </c>
      <c r="AG10" s="2" t="str">
        <f t="shared" si="8"/>
        <v>0.5040741949</v>
      </c>
      <c r="AH10" s="2" t="str">
        <f t="shared" si="9"/>
        <v>0.4959258051</v>
      </c>
      <c r="AI10" s="2" t="str">
        <f>VLOOKUP(AE10,B5:U51,(X10/25000),FALSE)</f>
        <v>1.2772</v>
      </c>
      <c r="AJ10" s="2" t="str">
        <f>VLOOKUP(AF10,B5:U51,(X10/25000),FALSE)</f>
        <v>1.3211</v>
      </c>
      <c r="AK10" s="2" t="str">
        <f>VLOOKUP(AE10,B5:U51,(Y10/25000),FALSE)</f>
        <v>1.2769</v>
      </c>
      <c r="AL10" s="2" t="str">
        <f>VLOOKUP(AF10,B5:U51,(Y10/25000),FALSE)</f>
        <v>1.3224</v>
      </c>
      <c r="AM10" s="2" t="str">
        <f t="shared" si="10"/>
        <v>1.298971143</v>
      </c>
      <c r="AN10" s="2" t="str">
        <f t="shared" si="11"/>
        <v>1.299464624</v>
      </c>
      <c r="AO10" s="2" t="str">
        <f t="shared" si="12"/>
        <v>1.299353551</v>
      </c>
    </row>
    <row r="11" ht="12.75" customHeight="1">
      <c r="B11" s="5">
        <v>1.0</v>
      </c>
      <c r="C11" s="5">
        <v>0.01</v>
      </c>
      <c r="D11" s="5">
        <v>0.0489</v>
      </c>
      <c r="E11" s="5">
        <v>0.2057</v>
      </c>
      <c r="F11" s="5">
        <v>0.3625</v>
      </c>
      <c r="G11" s="5">
        <v>0.427033333</v>
      </c>
      <c r="H11" s="5">
        <v>0.491566667</v>
      </c>
      <c r="I11" s="5">
        <v>0.5679</v>
      </c>
      <c r="J11" s="5">
        <v>0.6572</v>
      </c>
      <c r="K11" s="5">
        <v>0.7465</v>
      </c>
      <c r="L11" s="5">
        <v>0.7886</v>
      </c>
      <c r="M11" s="5">
        <v>0.8307</v>
      </c>
      <c r="N11" s="5">
        <v>0.85945</v>
      </c>
      <c r="O11" s="5">
        <v>0.8882</v>
      </c>
      <c r="P11" s="5">
        <v>0.8884</v>
      </c>
      <c r="Q11" s="5">
        <v>0.8886</v>
      </c>
      <c r="R11" s="5">
        <v>0.8946</v>
      </c>
      <c r="S11" s="5">
        <v>0.9006</v>
      </c>
      <c r="T11" s="5">
        <v>0.904425</v>
      </c>
      <c r="U11" s="5">
        <v>0.90825</v>
      </c>
      <c r="W11" s="2" t="str">
        <f>IF('расчет'!R29&lt;50000,50000,'расчет'!R29)</f>
        <v>139766.3665</v>
      </c>
      <c r="X11" s="2" t="str">
        <f t="shared" si="1"/>
        <v>125000</v>
      </c>
      <c r="Y11" s="2" t="str">
        <f t="shared" si="2"/>
        <v>150000</v>
      </c>
      <c r="Z11" s="2" t="str">
        <f t="shared" si="3"/>
        <v>0.4093453385</v>
      </c>
      <c r="AA11" s="2" t="str">
        <f t="shared" si="4"/>
        <v>0.5906546615</v>
      </c>
      <c r="AB11" s="2" t="str">
        <f>'расчет'!P29</f>
        <v>10.5809717</v>
      </c>
      <c r="AC11" s="2" t="str">
        <f t="shared" ref="AC11:AD11" si="18">AC10</f>
        <v>-2</v>
      </c>
      <c r="AD11" s="2" t="str">
        <f t="shared" si="18"/>
        <v>21</v>
      </c>
      <c r="AE11" s="2" t="str">
        <f t="shared" si="6"/>
        <v>10.5</v>
      </c>
      <c r="AF11" s="2" t="str">
        <f t="shared" si="7"/>
        <v>11</v>
      </c>
      <c r="AG11" s="2" t="str">
        <f t="shared" si="8"/>
        <v>0.8380565967</v>
      </c>
      <c r="AH11" s="2" t="str">
        <f t="shared" si="9"/>
        <v>0.1619434033</v>
      </c>
      <c r="AI11" s="2" t="str">
        <f>VLOOKUP(AE11,B5:U51,(X11/25000),FALSE)</f>
        <v>1.3211</v>
      </c>
      <c r="AJ11" s="2" t="str">
        <f>VLOOKUP(AF11,B5:U51,(X11/25000),FALSE)</f>
        <v>1.3845</v>
      </c>
      <c r="AK11" s="2" t="str">
        <f>VLOOKUP(AE11,B5:U51,(Y11/25000),FALSE)</f>
        <v>1.3224</v>
      </c>
      <c r="AL11" s="2" t="str">
        <f>VLOOKUP(AF11,B5:U51,(Y11/25000),FALSE)</f>
        <v>1.3561</v>
      </c>
      <c r="AM11" s="2" t="str">
        <f t="shared" si="10"/>
        <v>1.331367212</v>
      </c>
      <c r="AN11" s="2" t="str">
        <f t="shared" si="11"/>
        <v>1.327857493</v>
      </c>
      <c r="AO11" s="2" t="str">
        <f t="shared" si="12"/>
        <v>1.32929418</v>
      </c>
    </row>
    <row r="12" ht="12.75" customHeight="1">
      <c r="B12" s="5">
        <v>1.5</v>
      </c>
      <c r="C12" s="5">
        <v>0.01</v>
      </c>
      <c r="D12" s="5">
        <v>0.1216</v>
      </c>
      <c r="E12" s="5">
        <v>0.2974</v>
      </c>
      <c r="F12" s="5">
        <v>0.3853</v>
      </c>
      <c r="G12" s="5">
        <v>0.45455</v>
      </c>
      <c r="H12" s="5">
        <v>0.5238</v>
      </c>
      <c r="I12" s="5">
        <v>0.655</v>
      </c>
      <c r="J12" s="5">
        <v>0.71215</v>
      </c>
      <c r="K12" s="5">
        <v>0.7693</v>
      </c>
      <c r="L12" s="5">
        <v>0.81645</v>
      </c>
      <c r="M12" s="5">
        <v>0.8636</v>
      </c>
      <c r="N12" s="5">
        <v>0.88985</v>
      </c>
      <c r="O12" s="5">
        <v>0.9161</v>
      </c>
      <c r="P12" s="5">
        <v>0.93</v>
      </c>
      <c r="Q12" s="5">
        <v>0.9439</v>
      </c>
      <c r="R12" s="5">
        <v>0.9518</v>
      </c>
      <c r="S12" s="5">
        <v>0.9597</v>
      </c>
      <c r="T12" s="5">
        <v>0.95755</v>
      </c>
      <c r="U12" s="5">
        <v>0.9554</v>
      </c>
      <c r="W12" s="2" t="str">
        <f>IF('расчет'!R30&lt;50000,50000,'расчет'!R30)</f>
        <v>134527.6688</v>
      </c>
      <c r="X12" s="2" t="str">
        <f t="shared" si="1"/>
        <v>125000</v>
      </c>
      <c r="Y12" s="2" t="str">
        <f t="shared" si="2"/>
        <v>150000</v>
      </c>
      <c r="Z12" s="2" t="str">
        <f t="shared" si="3"/>
        <v>0.6188932465</v>
      </c>
      <c r="AA12" s="2" t="str">
        <f t="shared" si="4"/>
        <v>0.3811067535</v>
      </c>
      <c r="AB12" s="2" t="str">
        <f>'расчет'!P30</f>
        <v>10.90349584</v>
      </c>
      <c r="AC12" s="2" t="str">
        <f t="shared" ref="AC12:AD12" si="19">AC11</f>
        <v>-2</v>
      </c>
      <c r="AD12" s="2" t="str">
        <f t="shared" si="19"/>
        <v>21</v>
      </c>
      <c r="AE12" s="2" t="str">
        <f t="shared" si="6"/>
        <v>10.5</v>
      </c>
      <c r="AF12" s="2" t="str">
        <f t="shared" si="7"/>
        <v>11</v>
      </c>
      <c r="AG12" s="2" t="str">
        <f t="shared" si="8"/>
        <v>0.1930083163</v>
      </c>
      <c r="AH12" s="2" t="str">
        <f t="shared" si="9"/>
        <v>0.8069916837</v>
      </c>
      <c r="AI12" s="2" t="str">
        <f>VLOOKUP(AE12,B5:U51,(X12/25000),FALSE)</f>
        <v>1.3211</v>
      </c>
      <c r="AJ12" s="2" t="str">
        <f>VLOOKUP(AF12,B5:U51,(X12/25000),FALSE)</f>
        <v>1.3845</v>
      </c>
      <c r="AK12" s="2" t="str">
        <f>VLOOKUP(AE12,B5:U51,(Y12/25000),FALSE)</f>
        <v>1.3224</v>
      </c>
      <c r="AL12" s="2" t="str">
        <f>VLOOKUP(AF12,B5:U51,(Y12/25000),FALSE)</f>
        <v>1.3561</v>
      </c>
      <c r="AM12" s="2" t="str">
        <f t="shared" si="10"/>
        <v>1.372263273</v>
      </c>
      <c r="AN12" s="2" t="str">
        <f t="shared" si="11"/>
        <v>1.34959562</v>
      </c>
      <c r="AO12" s="2" t="str">
        <f t="shared" si="12"/>
        <v>1.363624477</v>
      </c>
    </row>
    <row r="13" ht="12.75" customHeight="1">
      <c r="B13" s="5">
        <v>2.0</v>
      </c>
      <c r="C13" s="5">
        <v>0.01</v>
      </c>
      <c r="D13" s="5">
        <v>0.1468</v>
      </c>
      <c r="E13" s="5">
        <v>0.3381</v>
      </c>
      <c r="F13" s="5">
        <v>0.4525</v>
      </c>
      <c r="G13" s="5">
        <v>0.52265</v>
      </c>
      <c r="H13" s="5">
        <v>0.5928</v>
      </c>
      <c r="I13" s="5">
        <v>0.6831</v>
      </c>
      <c r="J13" s="5">
        <v>0.77135</v>
      </c>
      <c r="K13" s="5">
        <v>0.8596</v>
      </c>
      <c r="L13" s="5">
        <v>0.9002</v>
      </c>
      <c r="M13" s="5">
        <v>0.9408</v>
      </c>
      <c r="N13" s="5">
        <v>0.9662</v>
      </c>
      <c r="O13" s="5">
        <v>0.9916</v>
      </c>
      <c r="P13" s="5">
        <v>0.9891</v>
      </c>
      <c r="Q13" s="5">
        <v>0.9866</v>
      </c>
      <c r="R13" s="5">
        <v>0.9914</v>
      </c>
      <c r="S13" s="5">
        <v>0.9962</v>
      </c>
      <c r="T13" s="5">
        <v>1.0023</v>
      </c>
      <c r="U13" s="5">
        <v>1.0084</v>
      </c>
      <c r="W13" s="2" t="str">
        <f>IF('расчет'!R31&lt;50000,50000,'расчет'!R31)</f>
        <v>128573.0727</v>
      </c>
      <c r="X13" s="2" t="str">
        <f t="shared" si="1"/>
        <v>125000</v>
      </c>
      <c r="Y13" s="2" t="str">
        <f t="shared" si="2"/>
        <v>150000</v>
      </c>
      <c r="Z13" s="2" t="str">
        <f t="shared" si="3"/>
        <v>0.8570770934</v>
      </c>
      <c r="AA13" s="2" t="str">
        <f t="shared" si="4"/>
        <v>0.1429229066</v>
      </c>
      <c r="AB13" s="2" t="str">
        <f>'расчет'!P31</f>
        <v>11.24863784</v>
      </c>
      <c r="AC13" s="2" t="str">
        <f t="shared" ref="AC13:AD13" si="20">AC12</f>
        <v>-2</v>
      </c>
      <c r="AD13" s="2" t="str">
        <f t="shared" si="20"/>
        <v>21</v>
      </c>
      <c r="AE13" s="2" t="str">
        <f t="shared" si="6"/>
        <v>11</v>
      </c>
      <c r="AF13" s="2" t="str">
        <f t="shared" si="7"/>
        <v>11.5</v>
      </c>
      <c r="AG13" s="2" t="str">
        <f t="shared" si="8"/>
        <v>0.5027243149</v>
      </c>
      <c r="AH13" s="2" t="str">
        <f t="shared" si="9"/>
        <v>0.4972756851</v>
      </c>
      <c r="AI13" s="2" t="str">
        <f>VLOOKUP(AE13,B5:U51,(X13/25000),FALSE)</f>
        <v>1.3845</v>
      </c>
      <c r="AJ13" s="2" t="str">
        <f>VLOOKUP(AF13,B5:U51,(X13/25000),FALSE)</f>
        <v>1.4228</v>
      </c>
      <c r="AK13" s="2" t="str">
        <f>VLOOKUP(AE13,B5:U51,(Y13/25000),FALSE)</f>
        <v>1.3561</v>
      </c>
      <c r="AL13" s="2" t="str">
        <f>VLOOKUP(AF13,B5:U51,(Y13/25000),FALSE)</f>
        <v>1.414</v>
      </c>
      <c r="AM13" s="2" t="str">
        <f t="shared" si="10"/>
        <v>1.403545659</v>
      </c>
      <c r="AN13" s="2" t="str">
        <f t="shared" si="11"/>
        <v>1.384892262</v>
      </c>
      <c r="AO13" s="2" t="str">
        <f t="shared" si="12"/>
        <v>1.400879661</v>
      </c>
    </row>
    <row r="14" ht="12.75" customHeight="1">
      <c r="B14" s="5">
        <v>2.5</v>
      </c>
      <c r="C14" s="5">
        <v>0.021933333</v>
      </c>
      <c r="D14" s="5">
        <v>0.208666667</v>
      </c>
      <c r="E14" s="5">
        <v>0.3954</v>
      </c>
      <c r="F14" s="5">
        <v>0.4988</v>
      </c>
      <c r="G14" s="5">
        <v>0.59075</v>
      </c>
      <c r="H14" s="5">
        <v>0.6827</v>
      </c>
      <c r="I14" s="5">
        <v>0.7724</v>
      </c>
      <c r="J14" s="5">
        <v>0.8657</v>
      </c>
      <c r="K14" s="5">
        <v>0.959</v>
      </c>
      <c r="L14" s="5">
        <v>0.971</v>
      </c>
      <c r="M14" s="5">
        <v>0.983</v>
      </c>
      <c r="N14" s="5">
        <v>1.00095</v>
      </c>
      <c r="O14" s="5">
        <v>1.0189</v>
      </c>
      <c r="P14" s="5">
        <v>1.0312</v>
      </c>
      <c r="Q14" s="5">
        <v>1.0435</v>
      </c>
      <c r="R14" s="5">
        <v>1.0388</v>
      </c>
      <c r="S14" s="5">
        <v>1.0341</v>
      </c>
      <c r="T14" s="5">
        <v>1.03705</v>
      </c>
      <c r="U14" s="5">
        <v>1.04</v>
      </c>
      <c r="W14" s="2" t="str">
        <f>IF('расчет'!R32&lt;50000,50000,'расчет'!R32)</f>
        <v>121825.3118</v>
      </c>
      <c r="X14" s="2" t="str">
        <f t="shared" si="1"/>
        <v>100000</v>
      </c>
      <c r="Y14" s="2" t="str">
        <f t="shared" si="2"/>
        <v>125000</v>
      </c>
      <c r="Z14" s="2" t="str">
        <f t="shared" si="3"/>
        <v>0.1269875283</v>
      </c>
      <c r="AA14" s="2" t="str">
        <f t="shared" si="4"/>
        <v>0.8730124717</v>
      </c>
      <c r="AB14" s="2" t="str">
        <f>'расчет'!P32</f>
        <v>11.66229685</v>
      </c>
      <c r="AC14" s="2" t="str">
        <f t="shared" ref="AC14:AD14" si="21">AC13</f>
        <v>-2</v>
      </c>
      <c r="AD14" s="2" t="str">
        <f t="shared" si="21"/>
        <v>21</v>
      </c>
      <c r="AE14" s="2" t="str">
        <f t="shared" si="6"/>
        <v>11.5</v>
      </c>
      <c r="AF14" s="2" t="str">
        <f t="shared" si="7"/>
        <v>12</v>
      </c>
      <c r="AG14" s="2" t="str">
        <f t="shared" si="8"/>
        <v>0.6754062992</v>
      </c>
      <c r="AH14" s="2" t="str">
        <f t="shared" si="9"/>
        <v>0.3245937008</v>
      </c>
      <c r="AI14" s="2" t="str">
        <f>VLOOKUP(AE14,B5:U51,(X14/25000),FALSE)</f>
        <v>1.4713</v>
      </c>
      <c r="AJ14" s="2" t="str">
        <f>VLOOKUP(AF14,B5:U51,(X14/25000),FALSE)</f>
        <v>1.5417</v>
      </c>
      <c r="AK14" s="2" t="str">
        <f>VLOOKUP(AE14,B5:U51,(Y14/25000),FALSE)</f>
        <v>1.4228</v>
      </c>
      <c r="AL14" s="2" t="str">
        <f>VLOOKUP(AF14,B5:U51,(Y14/25000),FALSE)</f>
        <v>1.4776</v>
      </c>
      <c r="AM14" s="2" t="str">
        <f t="shared" si="10"/>
        <v>1.494151397</v>
      </c>
      <c r="AN14" s="2" t="str">
        <f t="shared" si="11"/>
        <v>1.440587735</v>
      </c>
      <c r="AO14" s="2" t="str">
        <f t="shared" si="12"/>
        <v>1.447389652</v>
      </c>
    </row>
    <row r="15" ht="12.75" customHeight="1">
      <c r="B15" s="5">
        <v>3.0</v>
      </c>
      <c r="C15" s="5">
        <v>0.0457</v>
      </c>
      <c r="D15" s="5">
        <v>0.247216667</v>
      </c>
      <c r="E15" s="5">
        <v>0.448733333</v>
      </c>
      <c r="F15" s="5">
        <v>0.5451</v>
      </c>
      <c r="G15" s="5">
        <v>0.6218</v>
      </c>
      <c r="H15" s="5">
        <v>0.7844</v>
      </c>
      <c r="I15" s="5">
        <v>0.8595</v>
      </c>
      <c r="J15" s="5">
        <v>0.9194</v>
      </c>
      <c r="K15" s="5">
        <v>0.9793</v>
      </c>
      <c r="L15" s="5">
        <v>1.01815</v>
      </c>
      <c r="M15" s="5">
        <v>1.057</v>
      </c>
      <c r="N15" s="5">
        <v>1.0585</v>
      </c>
      <c r="O15" s="5">
        <v>1.06</v>
      </c>
      <c r="P15" s="5">
        <v>1.06685</v>
      </c>
      <c r="Q15" s="5">
        <v>1.0737</v>
      </c>
      <c r="R15" s="5">
        <v>1.07515</v>
      </c>
      <c r="S15" s="5">
        <v>1.0766</v>
      </c>
      <c r="T15" s="5">
        <v>1.0741</v>
      </c>
      <c r="U15" s="5">
        <v>1.0716</v>
      </c>
      <c r="W15" s="2" t="str">
        <f>IF('расчет'!R33&lt;50000,50000,'расчет'!R33)</f>
        <v>114215.2829</v>
      </c>
      <c r="X15" s="2" t="str">
        <f t="shared" si="1"/>
        <v>100000</v>
      </c>
      <c r="Y15" s="2" t="str">
        <f t="shared" si="2"/>
        <v>125000</v>
      </c>
      <c r="Z15" s="2" t="str">
        <f t="shared" si="3"/>
        <v>0.4313886844</v>
      </c>
      <c r="AA15" s="2" t="str">
        <f t="shared" si="4"/>
        <v>0.5686113156</v>
      </c>
      <c r="AB15" s="2" t="str">
        <f>'расчет'!P33</f>
        <v>12.20946957</v>
      </c>
      <c r="AC15" s="2" t="str">
        <f t="shared" ref="AC15:AD15" si="22">AC14</f>
        <v>-2</v>
      </c>
      <c r="AD15" s="2" t="str">
        <f t="shared" si="22"/>
        <v>21</v>
      </c>
      <c r="AE15" s="2" t="str">
        <f t="shared" si="6"/>
        <v>12</v>
      </c>
      <c r="AF15" s="2" t="str">
        <f t="shared" si="7"/>
        <v>12.5</v>
      </c>
      <c r="AG15" s="2" t="str">
        <f t="shared" si="8"/>
        <v>0.5810608514</v>
      </c>
      <c r="AH15" s="2" t="str">
        <f t="shared" si="9"/>
        <v>0.4189391486</v>
      </c>
      <c r="AI15" s="2" t="str">
        <f>VLOOKUP(AE15,B5:U51,(X15/25000),FALSE)</f>
        <v>1.5417</v>
      </c>
      <c r="AJ15" s="2" t="str">
        <f>VLOOKUP(AF15,B5:U51,(X15/25000),FALSE)</f>
        <v>1.5436</v>
      </c>
      <c r="AK15" s="2" t="str">
        <f>VLOOKUP(AE15,B5:U51,(Y15/25000),FALSE)</f>
        <v>1.4776</v>
      </c>
      <c r="AL15" s="2" t="str">
        <f>VLOOKUP(AF15,B5:U51,(Y15/25000),FALSE)</f>
        <v>1.5074</v>
      </c>
      <c r="AM15" s="2" t="str">
        <f t="shared" si="10"/>
        <v>1.542495984</v>
      </c>
      <c r="AN15" s="2" t="str">
        <f t="shared" si="11"/>
        <v>1.490084387</v>
      </c>
      <c r="AO15" s="2" t="str">
        <f t="shared" si="12"/>
        <v>1.512694157</v>
      </c>
    </row>
    <row r="16" ht="12.75" customHeight="1">
      <c r="B16" s="5">
        <v>3.5</v>
      </c>
      <c r="C16" s="5">
        <v>0.1032</v>
      </c>
      <c r="D16" s="5">
        <v>0.302633333</v>
      </c>
      <c r="E16" s="5">
        <v>0.502066667</v>
      </c>
      <c r="F16" s="5">
        <v>0.5914</v>
      </c>
      <c r="G16" s="5">
        <v>0.7095</v>
      </c>
      <c r="H16" s="5">
        <v>0.8244</v>
      </c>
      <c r="I16" s="5">
        <v>0.9393</v>
      </c>
      <c r="J16" s="5">
        <v>0.99815</v>
      </c>
      <c r="K16" s="5">
        <v>1.057</v>
      </c>
      <c r="L16" s="5">
        <v>1.07025</v>
      </c>
      <c r="M16" s="5">
        <v>1.0835</v>
      </c>
      <c r="N16" s="5">
        <v>1.09485</v>
      </c>
      <c r="O16" s="5">
        <v>1.1062</v>
      </c>
      <c r="P16" s="5">
        <v>1.1052</v>
      </c>
      <c r="Q16" s="5">
        <v>1.1042</v>
      </c>
      <c r="R16" s="5">
        <v>1.1052</v>
      </c>
      <c r="S16" s="5">
        <v>1.1062</v>
      </c>
      <c r="T16" s="5">
        <v>1.1043</v>
      </c>
      <c r="U16" s="5">
        <v>1.1024</v>
      </c>
      <c r="W16" s="2" t="str">
        <f>IF('расчет'!R34&lt;50000,50000,'расчет'!R34)</f>
        <v>105683.6102</v>
      </c>
      <c r="X16" s="2" t="str">
        <f t="shared" si="1"/>
        <v>100000</v>
      </c>
      <c r="Y16" s="2" t="str">
        <f t="shared" si="2"/>
        <v>125000</v>
      </c>
      <c r="Z16" s="2" t="str">
        <f t="shared" si="3"/>
        <v>0.7726555915</v>
      </c>
      <c r="AA16" s="2" t="str">
        <f t="shared" si="4"/>
        <v>0.2273444085</v>
      </c>
      <c r="AB16" s="2" t="str">
        <f>'расчет'!P34</f>
        <v>12.98450331</v>
      </c>
      <c r="AC16" s="2" t="str">
        <f t="shared" ref="AC16:AD16" si="23">AC15</f>
        <v>-2</v>
      </c>
      <c r="AD16" s="2" t="str">
        <f t="shared" si="23"/>
        <v>21</v>
      </c>
      <c r="AE16" s="2" t="str">
        <f t="shared" si="6"/>
        <v>12.5</v>
      </c>
      <c r="AF16" s="2" t="str">
        <f t="shared" si="7"/>
        <v>13</v>
      </c>
      <c r="AG16" s="2" t="str">
        <f t="shared" si="8"/>
        <v>0.03099337527</v>
      </c>
      <c r="AH16" s="2" t="str">
        <f t="shared" si="9"/>
        <v>0.9690066247</v>
      </c>
      <c r="AI16" s="2" t="str">
        <f>VLOOKUP(AE16,B5:U51,(X16/25000),FALSE)</f>
        <v>1.5436</v>
      </c>
      <c r="AJ16" s="2" t="str">
        <f>VLOOKUP(AF16,B5:U51,(X16/25000),FALSE)</f>
        <v>1.5912</v>
      </c>
      <c r="AK16" s="2" t="str">
        <f>VLOOKUP(AE16,B5:U51,(Y16/25000),FALSE)</f>
        <v>1.5074</v>
      </c>
      <c r="AL16" s="2" t="str">
        <f>VLOOKUP(AF16,B5:U51,(Y16/25000),FALSE)</f>
        <v>1.5376</v>
      </c>
      <c r="AM16" s="2" t="str">
        <f t="shared" si="10"/>
        <v>1.589724715</v>
      </c>
      <c r="AN16" s="2" t="str">
        <f t="shared" si="11"/>
        <v>1.536664</v>
      </c>
      <c r="AO16" s="2" t="str">
        <f t="shared" si="12"/>
        <v>1.577661658</v>
      </c>
    </row>
    <row r="17" ht="12.75" customHeight="1">
      <c r="B17" s="5">
        <v>4.0</v>
      </c>
      <c r="C17" s="5">
        <v>0.2195</v>
      </c>
      <c r="D17" s="5">
        <v>0.38745</v>
      </c>
      <c r="E17" s="5">
        <v>0.5554</v>
      </c>
      <c r="F17" s="5">
        <v>0.6889</v>
      </c>
      <c r="G17" s="5">
        <v>0.8161</v>
      </c>
      <c r="H17" s="5">
        <v>0.89865</v>
      </c>
      <c r="I17" s="5">
        <v>0.9812</v>
      </c>
      <c r="J17" s="5">
        <v>1.044</v>
      </c>
      <c r="K17" s="5">
        <v>1.1068</v>
      </c>
      <c r="L17" s="5">
        <v>1.11425</v>
      </c>
      <c r="M17" s="5">
        <v>1.1217</v>
      </c>
      <c r="N17" s="5">
        <v>1.1302</v>
      </c>
      <c r="O17" s="5">
        <v>1.1387</v>
      </c>
      <c r="P17" s="5">
        <v>1.1375</v>
      </c>
      <c r="Q17" s="5">
        <v>1.1363</v>
      </c>
      <c r="R17" s="5">
        <v>1.13535</v>
      </c>
      <c r="S17" s="5">
        <v>1.1344</v>
      </c>
      <c r="T17" s="5">
        <v>1.1323</v>
      </c>
      <c r="U17" s="5">
        <v>1.1302</v>
      </c>
      <c r="W17" s="2" t="str">
        <f>IF('расчет'!R35&lt;50000,50000,'расчет'!R35)</f>
        <v>96182.02339</v>
      </c>
      <c r="X17" s="2" t="str">
        <f t="shared" si="1"/>
        <v>75000</v>
      </c>
      <c r="Y17" s="2" t="str">
        <f t="shared" si="2"/>
        <v>100000</v>
      </c>
      <c r="Z17" s="2" t="str">
        <f t="shared" si="3"/>
        <v>0.1527190645</v>
      </c>
      <c r="AA17" s="2" t="str">
        <f t="shared" si="4"/>
        <v>0.8472809355</v>
      </c>
      <c r="AB17" s="2" t="str">
        <f>'расчет'!P35</f>
        <v>14.12833628</v>
      </c>
      <c r="AC17" s="2" t="str">
        <f t="shared" ref="AC17:AD17" si="24">AC16</f>
        <v>-2</v>
      </c>
      <c r="AD17" s="2" t="str">
        <f t="shared" si="24"/>
        <v>21</v>
      </c>
      <c r="AE17" s="2" t="str">
        <f t="shared" si="6"/>
        <v>14</v>
      </c>
      <c r="AF17" s="2" t="str">
        <f t="shared" si="7"/>
        <v>14.5</v>
      </c>
      <c r="AG17" s="2" t="str">
        <f t="shared" si="8"/>
        <v>0.7433274325</v>
      </c>
      <c r="AH17" s="2" t="str">
        <f t="shared" si="9"/>
        <v>0.2566725675</v>
      </c>
      <c r="AI17" s="2" t="str">
        <f>VLOOKUP(AE17,B5:U51,(X17/25000),FALSE)</f>
        <v>1.5154</v>
      </c>
      <c r="AJ17" s="2" t="str">
        <f>VLOOKUP(AF17,B5:U51,(X17/25000),FALSE)</f>
        <v>1.4641</v>
      </c>
      <c r="AK17" s="2" t="str">
        <f>VLOOKUP(AE17,B5:U51,(Y17/25000),FALSE)</f>
        <v>1.5457</v>
      </c>
      <c r="AL17" s="2" t="str">
        <f>VLOOKUP(AF17,B5:U51,(Y17/25000),FALSE)</f>
        <v>1.5283</v>
      </c>
      <c r="AM17" s="2" t="str">
        <f t="shared" si="10"/>
        <v>1.502232697</v>
      </c>
      <c r="AN17" s="2" t="str">
        <f t="shared" si="11"/>
        <v>1.541233897</v>
      </c>
      <c r="AO17" s="2" t="str">
        <f t="shared" si="12"/>
        <v>1.535277671</v>
      </c>
    </row>
    <row r="18" ht="12.75" customHeight="1">
      <c r="B18" s="5">
        <v>4.5</v>
      </c>
      <c r="C18" s="5">
        <v>0.3006</v>
      </c>
      <c r="D18" s="5">
        <v>0.4091</v>
      </c>
      <c r="E18" s="5">
        <v>0.607</v>
      </c>
      <c r="F18" s="5">
        <v>0.7425</v>
      </c>
      <c r="G18" s="5">
        <v>0.8821</v>
      </c>
      <c r="H18" s="5">
        <v>0.9935</v>
      </c>
      <c r="I18" s="5">
        <v>1.1004</v>
      </c>
      <c r="J18" s="5">
        <v>1.12035</v>
      </c>
      <c r="K18" s="5">
        <v>1.1403</v>
      </c>
      <c r="L18" s="5">
        <v>1.1481</v>
      </c>
      <c r="M18" s="5">
        <v>1.1559</v>
      </c>
      <c r="N18" s="5">
        <v>1.1598</v>
      </c>
      <c r="O18" s="5">
        <v>1.1637</v>
      </c>
      <c r="P18" s="5">
        <v>1.1639</v>
      </c>
      <c r="Q18" s="5">
        <v>1.1641</v>
      </c>
      <c r="R18" s="5">
        <v>1.16065</v>
      </c>
      <c r="S18" s="5">
        <v>1.1572</v>
      </c>
      <c r="T18" s="5">
        <v>1.1549</v>
      </c>
      <c r="U18" s="5">
        <v>1.1526</v>
      </c>
      <c r="W18" s="2" t="str">
        <f>IF('расчет'!R36&lt;50000,50000,'расчет'!R36)</f>
        <v>85674.39578</v>
      </c>
      <c r="X18" s="2" t="str">
        <f t="shared" si="1"/>
        <v>75000</v>
      </c>
      <c r="Y18" s="2" t="str">
        <f t="shared" si="2"/>
        <v>100000</v>
      </c>
      <c r="Z18" s="2" t="str">
        <f t="shared" si="3"/>
        <v>0.5730241689</v>
      </c>
      <c r="AA18" s="2" t="str">
        <f t="shared" si="4"/>
        <v>0.4269758311</v>
      </c>
      <c r="AB18" s="2" t="str">
        <f>'расчет'!P36</f>
        <v>15.85841006</v>
      </c>
      <c r="AC18" s="2" t="str">
        <f t="shared" ref="AC18:AD18" si="25">AC17</f>
        <v>-2</v>
      </c>
      <c r="AD18" s="2" t="str">
        <f t="shared" si="25"/>
        <v>21</v>
      </c>
      <c r="AE18" s="2" t="str">
        <f t="shared" si="6"/>
        <v>15.5</v>
      </c>
      <c r="AF18" s="2" t="str">
        <f t="shared" si="7"/>
        <v>16</v>
      </c>
      <c r="AG18" s="2" t="str">
        <f t="shared" si="8"/>
        <v>0.2831798876</v>
      </c>
      <c r="AH18" s="2" t="str">
        <f t="shared" si="9"/>
        <v>0.7168201124</v>
      </c>
      <c r="AI18" s="2" t="str">
        <f>VLOOKUP(AE18,B5:U51,(X18/25000),FALSE)</f>
        <v>1.3327</v>
      </c>
      <c r="AJ18" s="2" t="str">
        <f>VLOOKUP(AF18,B5:U51,(X18/25000),FALSE)</f>
        <v>1.2696</v>
      </c>
      <c r="AK18" s="2" t="str">
        <f>VLOOKUP(AE18,B5:U51,(Y18/25000),FALSE)</f>
        <v>1.4815</v>
      </c>
      <c r="AL18" s="2" t="str">
        <f>VLOOKUP(AF18,B5:U51,(Y18/25000),FALSE)</f>
        <v>1.4249</v>
      </c>
      <c r="AM18" s="2" t="str">
        <f t="shared" si="10"/>
        <v>1.287468651</v>
      </c>
      <c r="AN18" s="2" t="str">
        <f t="shared" si="11"/>
        <v>1.440927982</v>
      </c>
      <c r="AO18" s="2" t="str">
        <f t="shared" si="12"/>
        <v>1.352992076</v>
      </c>
    </row>
    <row r="19" ht="12.75" customHeight="1">
      <c r="B19" s="5">
        <v>5.0</v>
      </c>
      <c r="C19" s="5">
        <v>0.36105</v>
      </c>
      <c r="D19" s="5">
        <v>0.488</v>
      </c>
      <c r="E19" s="5">
        <v>0.6879</v>
      </c>
      <c r="F19" s="5">
        <v>0.8496</v>
      </c>
      <c r="G19" s="5">
        <v>0.9481</v>
      </c>
      <c r="H19" s="5">
        <v>1.0404</v>
      </c>
      <c r="I19" s="5">
        <v>1.1389</v>
      </c>
      <c r="J19" s="5">
        <v>1.15925</v>
      </c>
      <c r="K19" s="5">
        <v>1.1796</v>
      </c>
      <c r="L19" s="5">
        <v>1.1837</v>
      </c>
      <c r="M19" s="5">
        <v>1.1878</v>
      </c>
      <c r="N19" s="5">
        <v>1.1873</v>
      </c>
      <c r="O19" s="5">
        <v>1.1868</v>
      </c>
      <c r="P19" s="5">
        <v>1.1851</v>
      </c>
      <c r="Q19" s="5">
        <v>1.1834</v>
      </c>
      <c r="R19" s="5">
        <v>1.18015</v>
      </c>
      <c r="S19" s="5">
        <v>1.1769</v>
      </c>
      <c r="T19" s="5">
        <v>1.17355</v>
      </c>
      <c r="U19" s="5">
        <v>1.1702</v>
      </c>
      <c r="W19" s="2" t="str">
        <f>IF('расчет'!R37&lt;50000,50000,'расчет'!R37)</f>
        <v>74137.3012</v>
      </c>
      <c r="X19" s="2" t="str">
        <f t="shared" si="1"/>
        <v>50000</v>
      </c>
      <c r="Y19" s="2" t="str">
        <f t="shared" si="2"/>
        <v>75000</v>
      </c>
      <c r="Z19" s="2" t="str">
        <f t="shared" si="3"/>
        <v>0.03450795217</v>
      </c>
      <c r="AA19" s="2" t="str">
        <f t="shared" si="4"/>
        <v>0.9654920478</v>
      </c>
      <c r="AB19" s="2" t="str">
        <f>'расчет'!P37</f>
        <v>18.5217332</v>
      </c>
      <c r="AC19" s="2" t="str">
        <f t="shared" ref="AC19:AD19" si="26">AC18</f>
        <v>-2</v>
      </c>
      <c r="AD19" s="2" t="str">
        <f t="shared" si="26"/>
        <v>21</v>
      </c>
      <c r="AE19" s="2" t="str">
        <f t="shared" si="6"/>
        <v>18.5</v>
      </c>
      <c r="AF19" s="2" t="str">
        <f t="shared" si="7"/>
        <v>19</v>
      </c>
      <c r="AG19" s="2" t="str">
        <f t="shared" si="8"/>
        <v>0.9565335919</v>
      </c>
      <c r="AH19" s="2" t="str">
        <f t="shared" si="9"/>
        <v>0.0434664081</v>
      </c>
      <c r="AI19" s="2" t="str">
        <f>VLOOKUP(AE19,B5:U51,(X19/25000),FALSE)</f>
        <v>1.0953</v>
      </c>
      <c r="AJ19" s="2" t="str">
        <f>VLOOKUP(AF19,B5:U51,(X19/25000),FALSE)</f>
        <v>1.1239</v>
      </c>
      <c r="AK19" s="2" t="str">
        <f>VLOOKUP(AE19,B5:U51,(Y19/25000),FALSE)</f>
        <v>1.1002</v>
      </c>
      <c r="AL19" s="2" t="str">
        <f>VLOOKUP(AF19,B5:U51,(Y19/25000),FALSE)</f>
        <v>1.0955</v>
      </c>
      <c r="AM19" s="2" t="str">
        <f t="shared" si="10"/>
        <v>1.096543139</v>
      </c>
      <c r="AN19" s="2" t="str">
        <f t="shared" si="11"/>
        <v>1.099995708</v>
      </c>
      <c r="AO19" s="2" t="str">
        <f t="shared" si="12"/>
        <v>1.099876567</v>
      </c>
    </row>
    <row r="20" ht="12.75" customHeight="1">
      <c r="B20" s="5">
        <v>5.5</v>
      </c>
      <c r="C20" s="5">
        <v>0.4215</v>
      </c>
      <c r="D20" s="5">
        <v>0.5622</v>
      </c>
      <c r="E20" s="5">
        <v>0.8083</v>
      </c>
      <c r="F20" s="5">
        <v>0.89785</v>
      </c>
      <c r="G20" s="5">
        <v>1.0768</v>
      </c>
      <c r="H20" s="5">
        <v>1.1081</v>
      </c>
      <c r="I20" s="5">
        <v>1.1896</v>
      </c>
      <c r="J20" s="5">
        <v>1.1975</v>
      </c>
      <c r="K20" s="5">
        <v>1.2054</v>
      </c>
      <c r="L20" s="5">
        <v>1.2067</v>
      </c>
      <c r="M20" s="5">
        <v>1.208</v>
      </c>
      <c r="N20" s="5">
        <v>1.207</v>
      </c>
      <c r="O20" s="5">
        <v>1.206</v>
      </c>
      <c r="P20" s="5">
        <v>1.20195</v>
      </c>
      <c r="Q20" s="5">
        <v>1.1979</v>
      </c>
      <c r="R20" s="5">
        <v>1.19275</v>
      </c>
      <c r="S20" s="5">
        <v>1.1876</v>
      </c>
      <c r="T20" s="5">
        <v>1.1809</v>
      </c>
      <c r="U20" s="5">
        <v>1.1742</v>
      </c>
      <c r="W20" s="2" t="str">
        <f>IF('расчет'!R38&lt;50000,50000,'расчет'!R38)</f>
        <v>61560.12526</v>
      </c>
      <c r="X20" s="2" t="str">
        <f t="shared" si="1"/>
        <v>50000</v>
      </c>
      <c r="Y20" s="2" t="str">
        <f t="shared" si="2"/>
        <v>75000</v>
      </c>
      <c r="Z20" s="2" t="str">
        <f t="shared" si="3"/>
        <v>0.5375949897</v>
      </c>
      <c r="AA20" s="2" t="str">
        <f t="shared" si="4"/>
        <v>0.4624050103</v>
      </c>
      <c r="AB20" s="2" t="str">
        <f>'расчет'!P38</f>
        <v>22.68814529</v>
      </c>
      <c r="AC20" s="2" t="str">
        <f t="shared" ref="AC20:AD20" si="27">AC19</f>
        <v>-2</v>
      </c>
      <c r="AD20" s="2" t="str">
        <f t="shared" si="27"/>
        <v>21</v>
      </c>
      <c r="AE20" s="2" t="str">
        <f t="shared" si="6"/>
        <v>22.5</v>
      </c>
      <c r="AF20" s="2" t="str">
        <f t="shared" si="7"/>
        <v>23</v>
      </c>
      <c r="AG20" s="2" t="str">
        <f t="shared" si="8"/>
        <v>0.6237094224</v>
      </c>
      <c r="AH20" s="2" t="str">
        <f t="shared" si="9"/>
        <v>0.3762905776</v>
      </c>
      <c r="AI20" s="1" t="str">
        <f>VLOOKUP(AE20,B5:U51,(X20/25000),FALSE)</f>
        <v>#N/A</v>
      </c>
      <c r="AJ20" s="1" t="str">
        <f>VLOOKUP(AF20,B5:U51,(X20/25000),FALSE)</f>
        <v>#N/A</v>
      </c>
      <c r="AK20" s="1" t="str">
        <f>VLOOKUP(AE20,B5:U51,(Y20/25000),FALSE)</f>
        <v>#N/A</v>
      </c>
      <c r="AL20" s="1" t="str">
        <f>VLOOKUP(AF20,B5:U51,(Y20/25000),FALSE)</f>
        <v>#N/A</v>
      </c>
      <c r="AM20" s="2" t="str">
        <f t="shared" si="10"/>
        <v>#N/A</v>
      </c>
      <c r="AN20" s="2" t="str">
        <f t="shared" si="11"/>
        <v>#N/A</v>
      </c>
      <c r="AO20" s="2" t="str">
        <f t="shared" si="12"/>
        <v>#N/A</v>
      </c>
    </row>
    <row r="21" ht="12.75" customHeight="1">
      <c r="B21" s="5">
        <v>6.0</v>
      </c>
      <c r="C21" s="5">
        <v>0.476</v>
      </c>
      <c r="D21" s="5">
        <v>0.6364</v>
      </c>
      <c r="E21" s="5">
        <v>0.8664</v>
      </c>
      <c r="F21" s="5">
        <v>0.9461</v>
      </c>
      <c r="G21" s="5">
        <v>1.1378</v>
      </c>
      <c r="H21" s="5">
        <v>1.1793</v>
      </c>
      <c r="I21" s="5">
        <v>1.2101</v>
      </c>
      <c r="J21" s="5">
        <v>1.2194</v>
      </c>
      <c r="K21" s="5">
        <v>1.2287</v>
      </c>
      <c r="L21" s="5">
        <v>1.2263</v>
      </c>
      <c r="M21" s="5">
        <v>1.2239</v>
      </c>
      <c r="N21" s="5">
        <v>1.21485</v>
      </c>
      <c r="O21" s="5">
        <v>1.2058</v>
      </c>
      <c r="P21" s="5">
        <v>1.19305</v>
      </c>
      <c r="Q21" s="5">
        <v>1.1803</v>
      </c>
      <c r="R21" s="5">
        <v>1.16825</v>
      </c>
      <c r="S21" s="5">
        <v>1.1562</v>
      </c>
      <c r="T21" s="5">
        <v>1.14545</v>
      </c>
      <c r="U21" s="5">
        <v>1.1347</v>
      </c>
    </row>
    <row r="22" ht="12.75" customHeight="1">
      <c r="B22" s="5">
        <v>6.5</v>
      </c>
      <c r="C22" s="5">
        <v>0.5447</v>
      </c>
      <c r="D22" s="5">
        <v>0.8166</v>
      </c>
      <c r="E22" s="5">
        <v>0.9279</v>
      </c>
      <c r="F22" s="5">
        <v>1.0697</v>
      </c>
      <c r="G22" s="5">
        <v>1.1925</v>
      </c>
      <c r="H22" s="5">
        <v>1.2245</v>
      </c>
      <c r="I22" s="5">
        <v>1.2493</v>
      </c>
      <c r="J22" s="5">
        <v>1.24025</v>
      </c>
      <c r="K22" s="5">
        <v>1.2312</v>
      </c>
      <c r="L22" s="5">
        <v>1.2133</v>
      </c>
      <c r="M22" s="5">
        <v>1.1954</v>
      </c>
      <c r="N22" s="5">
        <v>1.17845</v>
      </c>
      <c r="O22" s="5">
        <v>1.1615</v>
      </c>
      <c r="P22" s="5">
        <v>1.14685</v>
      </c>
      <c r="Q22" s="5">
        <v>1.1322</v>
      </c>
      <c r="R22" s="5">
        <v>1.1175</v>
      </c>
      <c r="S22" s="5">
        <v>1.1028</v>
      </c>
      <c r="T22" s="5">
        <v>1.09595</v>
      </c>
      <c r="U22" s="5">
        <v>1.0891</v>
      </c>
    </row>
    <row r="23" ht="12.75" customHeight="1">
      <c r="B23" s="5">
        <v>7.0</v>
      </c>
      <c r="C23" s="5">
        <v>0.5868</v>
      </c>
      <c r="D23" s="5">
        <v>0.8587</v>
      </c>
      <c r="E23" s="5">
        <v>1.04125</v>
      </c>
      <c r="F23" s="5">
        <v>1.2238</v>
      </c>
      <c r="G23" s="5">
        <v>1.2825</v>
      </c>
      <c r="H23" s="5">
        <v>1.2726</v>
      </c>
      <c r="I23" s="5">
        <v>1.2453</v>
      </c>
      <c r="J23" s="5">
        <v>1.21415</v>
      </c>
      <c r="K23" s="5">
        <v>1.183</v>
      </c>
      <c r="L23" s="5">
        <v>1.16105</v>
      </c>
      <c r="M23" s="5">
        <v>1.1391</v>
      </c>
      <c r="N23" s="5">
        <v>1.1256</v>
      </c>
      <c r="O23" s="5">
        <v>1.1121</v>
      </c>
      <c r="P23" s="5">
        <v>1.109</v>
      </c>
      <c r="Q23" s="5">
        <v>1.1059</v>
      </c>
      <c r="R23" s="5">
        <v>1.1056</v>
      </c>
      <c r="S23" s="5">
        <v>1.1053</v>
      </c>
      <c r="T23" s="5">
        <v>1.10695</v>
      </c>
      <c r="U23" s="5">
        <v>1.1086</v>
      </c>
    </row>
    <row r="24" ht="12.75" customHeight="1">
      <c r="B24" s="5">
        <v>7.5</v>
      </c>
      <c r="C24" s="5">
        <v>0.632</v>
      </c>
      <c r="D24" s="5">
        <v>0.9436</v>
      </c>
      <c r="E24" s="5">
        <v>1.10505</v>
      </c>
      <c r="F24" s="5">
        <v>1.2665</v>
      </c>
      <c r="G24" s="5">
        <v>1.2509</v>
      </c>
      <c r="H24" s="5">
        <v>1.2158</v>
      </c>
      <c r="I24" s="5">
        <v>1.1928</v>
      </c>
      <c r="J24" s="5">
        <v>1.1646</v>
      </c>
      <c r="K24" s="5">
        <v>1.1364</v>
      </c>
      <c r="L24" s="5">
        <v>1.1309</v>
      </c>
      <c r="M24" s="5">
        <v>1.1254</v>
      </c>
      <c r="N24" s="5">
        <v>1.1255</v>
      </c>
      <c r="O24" s="5">
        <v>1.1256</v>
      </c>
      <c r="P24" s="5">
        <v>1.1267</v>
      </c>
      <c r="Q24" s="5">
        <v>1.1278</v>
      </c>
      <c r="R24" s="5">
        <v>1.13</v>
      </c>
      <c r="S24" s="5">
        <v>1.1322</v>
      </c>
      <c r="T24" s="5">
        <v>1.1333</v>
      </c>
      <c r="U24" s="5">
        <v>1.1344</v>
      </c>
    </row>
    <row r="25" ht="12.75" customHeight="1">
      <c r="B25" s="5">
        <v>8.0</v>
      </c>
      <c r="C25" s="5">
        <v>0.6841</v>
      </c>
      <c r="D25" s="5">
        <v>0.9631</v>
      </c>
      <c r="E25" s="5">
        <v>1.2421</v>
      </c>
      <c r="F25" s="5">
        <v>1.231</v>
      </c>
      <c r="G25" s="5">
        <v>1.2064</v>
      </c>
      <c r="H25" s="5">
        <v>1.1989</v>
      </c>
      <c r="I25" s="5">
        <v>1.1974</v>
      </c>
      <c r="J25" s="5">
        <v>1.188125</v>
      </c>
      <c r="K25" s="5">
        <v>1.17885</v>
      </c>
      <c r="L25" s="5">
        <v>1.161875</v>
      </c>
      <c r="M25" s="5">
        <v>1.1449</v>
      </c>
      <c r="N25" s="5">
        <v>1.14625</v>
      </c>
      <c r="O25" s="5">
        <v>1.1476</v>
      </c>
      <c r="P25" s="5">
        <v>1.1505</v>
      </c>
      <c r="Q25" s="5">
        <v>1.1534</v>
      </c>
      <c r="R25" s="5">
        <v>1.15455</v>
      </c>
      <c r="S25" s="5">
        <v>1.1557</v>
      </c>
      <c r="T25" s="5">
        <v>1.15705</v>
      </c>
      <c r="U25" s="5">
        <v>1.1584</v>
      </c>
    </row>
    <row r="26" ht="12.75" customHeight="1">
      <c r="B26" s="5">
        <v>8.5</v>
      </c>
      <c r="C26" s="5">
        <v>0.953</v>
      </c>
      <c r="D26" s="5">
        <v>1.08625</v>
      </c>
      <c r="E26" s="5">
        <v>1.2195</v>
      </c>
      <c r="F26" s="5">
        <v>1.2115</v>
      </c>
      <c r="G26" s="5">
        <v>1.21</v>
      </c>
      <c r="H26" s="5">
        <v>1.2113</v>
      </c>
      <c r="I26" s="5">
        <v>1.2109</v>
      </c>
      <c r="J26" s="5">
        <v>1.2161</v>
      </c>
      <c r="K26" s="5">
        <v>1.2213</v>
      </c>
      <c r="L26" s="5">
        <v>1.2116</v>
      </c>
      <c r="M26" s="5">
        <v>1.2019</v>
      </c>
      <c r="N26" s="5">
        <v>1.22435</v>
      </c>
      <c r="O26" s="5">
        <v>1.2468</v>
      </c>
      <c r="P26" s="5">
        <v>1.25</v>
      </c>
      <c r="Q26" s="5">
        <v>1.2532</v>
      </c>
      <c r="R26" s="5">
        <v>1.239575</v>
      </c>
      <c r="S26" s="5">
        <v>1.22595</v>
      </c>
      <c r="T26" s="5">
        <v>1.228925</v>
      </c>
      <c r="U26" s="5">
        <v>1.2319</v>
      </c>
    </row>
    <row r="27" ht="12.75" customHeight="1">
      <c r="B27" s="5">
        <v>9.0</v>
      </c>
      <c r="C27" s="5">
        <v>1.0669</v>
      </c>
      <c r="D27" s="5">
        <v>1.2114</v>
      </c>
      <c r="E27" s="5">
        <v>1.2122</v>
      </c>
      <c r="F27" s="5">
        <v>1.2224</v>
      </c>
      <c r="G27" s="5">
        <v>1.225</v>
      </c>
      <c r="H27" s="5">
        <v>1.2255</v>
      </c>
      <c r="I27" s="5">
        <v>1.2336</v>
      </c>
      <c r="J27" s="5">
        <v>1.23875</v>
      </c>
      <c r="K27" s="5">
        <v>1.2439</v>
      </c>
      <c r="L27" s="5">
        <v>1.2514</v>
      </c>
      <c r="M27" s="5">
        <v>1.2589</v>
      </c>
      <c r="N27" s="5">
        <v>1.26225</v>
      </c>
      <c r="O27" s="5">
        <v>1.2656</v>
      </c>
      <c r="P27" s="5">
        <v>1.27425</v>
      </c>
      <c r="Q27" s="5">
        <v>1.2829</v>
      </c>
      <c r="R27" s="5">
        <v>1.28955</v>
      </c>
      <c r="S27" s="5">
        <v>1.2962</v>
      </c>
      <c r="T27" s="5">
        <v>1.3008</v>
      </c>
      <c r="U27" s="5">
        <v>1.3054</v>
      </c>
    </row>
    <row r="28" ht="12.75" customHeight="1">
      <c r="B28" s="5">
        <v>9.5</v>
      </c>
      <c r="C28" s="5">
        <v>1.1795</v>
      </c>
      <c r="D28" s="5">
        <v>1.2094</v>
      </c>
      <c r="E28" s="5">
        <v>1.2365</v>
      </c>
      <c r="F28" s="5">
        <v>1.2434</v>
      </c>
      <c r="G28" s="5">
        <v>1.2455</v>
      </c>
      <c r="H28" s="5">
        <v>1.2511</v>
      </c>
      <c r="I28" s="5">
        <v>1.2532</v>
      </c>
      <c r="J28" s="5">
        <v>1.2611</v>
      </c>
      <c r="K28" s="5">
        <v>1.269</v>
      </c>
      <c r="L28" s="5">
        <v>1.2722</v>
      </c>
      <c r="M28" s="5">
        <v>1.2754</v>
      </c>
      <c r="N28" s="5">
        <v>1.28485</v>
      </c>
      <c r="O28" s="5">
        <v>1.2943</v>
      </c>
      <c r="P28" s="5">
        <v>1.30175</v>
      </c>
      <c r="Q28" s="5">
        <v>1.3092</v>
      </c>
      <c r="R28" s="5">
        <v>1.31415</v>
      </c>
      <c r="S28" s="5">
        <v>1.3191</v>
      </c>
      <c r="T28" s="5">
        <v>1.3205</v>
      </c>
      <c r="U28" s="5">
        <v>1.3219</v>
      </c>
    </row>
    <row r="29" ht="12.75" customHeight="1">
      <c r="B29" s="5">
        <v>10.0</v>
      </c>
      <c r="C29" s="5">
        <v>1.2358</v>
      </c>
      <c r="D29" s="5">
        <v>1.2646</v>
      </c>
      <c r="E29" s="5">
        <v>1.2819</v>
      </c>
      <c r="F29" s="5">
        <v>1.2772</v>
      </c>
      <c r="G29" s="5">
        <v>1.2769</v>
      </c>
      <c r="H29" s="5">
        <v>1.2801</v>
      </c>
      <c r="I29" s="5">
        <v>1.2819</v>
      </c>
      <c r="J29" s="5">
        <v>1.2861</v>
      </c>
      <c r="K29" s="5">
        <v>1.2903</v>
      </c>
      <c r="L29" s="5">
        <v>1.2973</v>
      </c>
      <c r="M29" s="5">
        <v>1.3043</v>
      </c>
      <c r="N29" s="5">
        <v>1.31215</v>
      </c>
      <c r="O29" s="5">
        <v>1.32</v>
      </c>
      <c r="P29" s="5">
        <v>1.32505</v>
      </c>
      <c r="Q29" s="5">
        <v>1.3301</v>
      </c>
      <c r="R29" s="5">
        <v>1.3332</v>
      </c>
      <c r="S29" s="5">
        <v>1.3363</v>
      </c>
      <c r="T29" s="5">
        <v>1.34475</v>
      </c>
      <c r="U29" s="5">
        <v>1.3532</v>
      </c>
    </row>
    <row r="30" ht="12.75" customHeight="1">
      <c r="B30" s="5">
        <v>10.5</v>
      </c>
      <c r="C30" s="5">
        <v>1.3253</v>
      </c>
      <c r="D30" s="5">
        <v>1.3497</v>
      </c>
      <c r="E30" s="5">
        <v>1.3324</v>
      </c>
      <c r="F30" s="5">
        <v>1.3211</v>
      </c>
      <c r="G30" s="5">
        <v>1.3224</v>
      </c>
      <c r="H30" s="5">
        <v>1.3118</v>
      </c>
      <c r="I30" s="5">
        <v>1.3102</v>
      </c>
      <c r="J30" s="5">
        <v>1.3142</v>
      </c>
      <c r="K30" s="5">
        <v>1.3182</v>
      </c>
      <c r="L30" s="5">
        <v>1.3244</v>
      </c>
      <c r="M30" s="5">
        <v>1.3306</v>
      </c>
      <c r="N30" s="5">
        <v>1.3354</v>
      </c>
      <c r="O30" s="5">
        <v>1.3402</v>
      </c>
      <c r="P30" s="5">
        <v>1.34565</v>
      </c>
      <c r="Q30" s="5">
        <v>1.3511</v>
      </c>
      <c r="R30" s="5">
        <v>1.35925</v>
      </c>
      <c r="S30" s="5">
        <v>1.3674</v>
      </c>
      <c r="T30" s="5">
        <v>1.3747</v>
      </c>
      <c r="U30" s="5">
        <v>1.382</v>
      </c>
    </row>
    <row r="31" ht="12.75" customHeight="1">
      <c r="B31" s="5">
        <v>11.0</v>
      </c>
      <c r="C31" s="5">
        <v>1.4607</v>
      </c>
      <c r="D31" s="5">
        <v>1.4372</v>
      </c>
      <c r="E31" s="5">
        <v>1.3998</v>
      </c>
      <c r="F31" s="5">
        <v>1.3845</v>
      </c>
      <c r="G31" s="5">
        <v>1.3561</v>
      </c>
      <c r="H31" s="5">
        <v>1.3473</v>
      </c>
      <c r="I31" s="5">
        <v>1.3481</v>
      </c>
      <c r="J31" s="5">
        <v>1.34675</v>
      </c>
      <c r="K31" s="5">
        <v>1.3454</v>
      </c>
      <c r="L31" s="5">
        <v>1.34895</v>
      </c>
      <c r="M31" s="5">
        <v>1.3525</v>
      </c>
      <c r="N31" s="5">
        <v>1.3585</v>
      </c>
      <c r="O31" s="5">
        <v>1.3645</v>
      </c>
      <c r="P31" s="5">
        <v>1.37215</v>
      </c>
      <c r="Q31" s="5">
        <v>1.3798</v>
      </c>
      <c r="R31" s="5">
        <v>1.3875</v>
      </c>
      <c r="S31" s="5">
        <v>1.3952</v>
      </c>
      <c r="T31" s="5">
        <v>1.40175</v>
      </c>
      <c r="U31" s="5">
        <v>1.4083</v>
      </c>
    </row>
    <row r="32" ht="12.75" customHeight="1">
      <c r="B32" s="5">
        <v>11.5</v>
      </c>
      <c r="C32" s="5">
        <v>1.54</v>
      </c>
      <c r="D32" s="5">
        <v>1.5129</v>
      </c>
      <c r="E32" s="5">
        <v>1.4713</v>
      </c>
      <c r="F32" s="5">
        <v>1.4228</v>
      </c>
      <c r="G32" s="5">
        <v>1.414</v>
      </c>
      <c r="H32" s="5">
        <v>1.3885</v>
      </c>
      <c r="I32" s="5">
        <v>1.3759</v>
      </c>
      <c r="J32" s="5">
        <v>1.37775</v>
      </c>
      <c r="K32" s="5">
        <v>1.3796</v>
      </c>
      <c r="L32" s="5">
        <v>1.3796</v>
      </c>
      <c r="M32" s="5">
        <v>1.3796</v>
      </c>
      <c r="N32" s="5">
        <v>1.3855</v>
      </c>
      <c r="O32" s="5">
        <v>1.3914</v>
      </c>
      <c r="P32" s="5">
        <v>1.3984</v>
      </c>
      <c r="Q32" s="5">
        <v>1.4054</v>
      </c>
      <c r="R32" s="5">
        <v>1.4104</v>
      </c>
      <c r="S32" s="5">
        <v>1.4154</v>
      </c>
      <c r="T32" s="5">
        <v>1.4193</v>
      </c>
      <c r="U32" s="5">
        <v>1.4232</v>
      </c>
    </row>
    <row r="33" ht="12.75" customHeight="1">
      <c r="B33" s="5">
        <v>12.0</v>
      </c>
      <c r="C33" s="5">
        <v>1.572</v>
      </c>
      <c r="D33" s="5">
        <v>1.5654</v>
      </c>
      <c r="E33" s="5">
        <v>1.5417</v>
      </c>
      <c r="F33" s="5">
        <v>1.4776</v>
      </c>
      <c r="G33" s="5">
        <v>1.4409</v>
      </c>
      <c r="H33" s="5">
        <v>1.4184</v>
      </c>
      <c r="I33" s="5">
        <v>1.4214</v>
      </c>
      <c r="J33" s="5">
        <v>1.4113</v>
      </c>
      <c r="K33" s="5">
        <v>1.4012</v>
      </c>
      <c r="L33" s="5">
        <v>1.40255</v>
      </c>
      <c r="M33" s="5">
        <v>1.4039</v>
      </c>
      <c r="N33" s="5">
        <v>1.40875</v>
      </c>
      <c r="O33" s="5">
        <v>1.4136</v>
      </c>
      <c r="P33" s="5">
        <v>1.4178</v>
      </c>
      <c r="Q33" s="5">
        <v>1.422</v>
      </c>
      <c r="R33" s="5">
        <v>1.4307</v>
      </c>
      <c r="S33" s="5">
        <v>1.4394</v>
      </c>
      <c r="T33" s="5">
        <v>1.4481</v>
      </c>
      <c r="U33" s="5">
        <v>1.4568</v>
      </c>
    </row>
    <row r="34" ht="12.75" customHeight="1">
      <c r="B34" s="5">
        <v>12.5</v>
      </c>
      <c r="C34" s="5">
        <v>1.5812</v>
      </c>
      <c r="D34" s="5">
        <v>1.5724</v>
      </c>
      <c r="E34" s="5">
        <v>1.5436</v>
      </c>
      <c r="F34" s="5">
        <v>1.5074</v>
      </c>
      <c r="G34" s="5">
        <v>1.4725</v>
      </c>
      <c r="H34" s="5">
        <v>1.4584</v>
      </c>
      <c r="I34" s="5">
        <v>1.4391</v>
      </c>
      <c r="J34" s="5">
        <v>1.4309</v>
      </c>
      <c r="K34" s="5">
        <v>1.4227</v>
      </c>
      <c r="L34" s="5">
        <v>1.4252</v>
      </c>
      <c r="M34" s="5">
        <v>1.4277</v>
      </c>
      <c r="N34" s="5">
        <v>1.43155</v>
      </c>
      <c r="O34" s="5">
        <v>1.4354</v>
      </c>
      <c r="P34" s="5">
        <v>1.44325</v>
      </c>
      <c r="Q34" s="5">
        <v>1.4511</v>
      </c>
      <c r="R34" s="5">
        <v>1.4599</v>
      </c>
      <c r="S34" s="5">
        <v>1.4687</v>
      </c>
      <c r="T34" s="5">
        <v>1.47725</v>
      </c>
      <c r="U34" s="5">
        <v>1.4858</v>
      </c>
    </row>
    <row r="35" ht="12.75" customHeight="1">
      <c r="B35" s="5">
        <v>13.0</v>
      </c>
      <c r="C35" s="5">
        <v>1.574</v>
      </c>
      <c r="D35" s="5">
        <v>1.5943</v>
      </c>
      <c r="E35" s="5">
        <v>1.5912</v>
      </c>
      <c r="F35" s="5">
        <v>1.5376</v>
      </c>
      <c r="G35" s="5">
        <v>1.5041</v>
      </c>
      <c r="H35" s="5">
        <v>1.4768</v>
      </c>
      <c r="I35" s="5">
        <v>1.4597</v>
      </c>
      <c r="J35" s="5">
        <v>1.45465</v>
      </c>
      <c r="K35" s="5">
        <v>1.4496</v>
      </c>
      <c r="L35" s="5">
        <v>1.4486</v>
      </c>
      <c r="M35" s="5">
        <v>1.4476</v>
      </c>
      <c r="N35" s="5">
        <v>1.4533</v>
      </c>
      <c r="O35" s="5">
        <v>1.459</v>
      </c>
      <c r="P35" s="5">
        <v>1.4674</v>
      </c>
      <c r="Q35" s="5">
        <v>1.4758</v>
      </c>
      <c r="R35" s="5">
        <v>1.48105</v>
      </c>
      <c r="S35" s="5">
        <v>1.4863</v>
      </c>
      <c r="T35" s="5">
        <v>1.49655</v>
      </c>
      <c r="U35" s="5">
        <v>1.5068</v>
      </c>
    </row>
    <row r="36" ht="12.75" customHeight="1">
      <c r="B36" s="5">
        <v>13.5</v>
      </c>
      <c r="C36" s="5">
        <v>1.5227</v>
      </c>
      <c r="D36" s="5">
        <v>1.5582</v>
      </c>
      <c r="E36" s="5">
        <v>1.5656</v>
      </c>
      <c r="F36" s="5">
        <v>1.5469</v>
      </c>
      <c r="G36" s="5">
        <v>1.5373</v>
      </c>
      <c r="H36" s="5">
        <v>1.5057</v>
      </c>
      <c r="I36" s="5">
        <v>1.485</v>
      </c>
      <c r="J36" s="5">
        <v>1.475</v>
      </c>
      <c r="K36" s="5">
        <v>1.465</v>
      </c>
      <c r="L36" s="5">
        <v>1.4656</v>
      </c>
      <c r="M36" s="5">
        <v>1.4662</v>
      </c>
      <c r="N36" s="5">
        <v>1.4705</v>
      </c>
      <c r="O36" s="5">
        <v>1.4748</v>
      </c>
      <c r="P36" s="5">
        <v>1.48485</v>
      </c>
      <c r="Q36" s="5">
        <v>1.4949</v>
      </c>
      <c r="R36" s="5">
        <v>1.50525</v>
      </c>
      <c r="S36" s="5">
        <v>1.5156</v>
      </c>
      <c r="T36" s="5">
        <v>1.52445</v>
      </c>
      <c r="U36" s="5">
        <v>1.5333</v>
      </c>
    </row>
    <row r="37" ht="12.75" customHeight="1">
      <c r="B37" s="5">
        <v>14.0</v>
      </c>
      <c r="C37" s="5">
        <v>1.4654</v>
      </c>
      <c r="D37" s="5">
        <v>1.5154</v>
      </c>
      <c r="E37" s="5">
        <v>1.5457</v>
      </c>
      <c r="F37" s="5">
        <v>1.5648</v>
      </c>
      <c r="G37" s="5">
        <v>1.5388</v>
      </c>
      <c r="H37" s="5">
        <v>1.5154</v>
      </c>
      <c r="I37" s="5">
        <v>1.4959</v>
      </c>
      <c r="J37" s="5">
        <v>1.48705</v>
      </c>
      <c r="K37" s="5">
        <v>1.4782</v>
      </c>
      <c r="L37" s="5">
        <v>1.48025</v>
      </c>
      <c r="M37" s="5">
        <v>1.4823</v>
      </c>
      <c r="N37" s="5">
        <v>1.49035</v>
      </c>
      <c r="O37" s="5">
        <v>1.4984</v>
      </c>
      <c r="P37" s="5">
        <v>1.5082</v>
      </c>
      <c r="Q37" s="5">
        <v>1.518</v>
      </c>
      <c r="R37" s="5">
        <v>1.52375</v>
      </c>
      <c r="S37" s="5">
        <v>1.5295</v>
      </c>
      <c r="T37" s="5">
        <v>1.5395</v>
      </c>
      <c r="U37" s="5">
        <v>1.5495</v>
      </c>
    </row>
    <row r="38" ht="12.75" customHeight="1">
      <c r="B38" s="5">
        <v>14.5</v>
      </c>
      <c r="C38" s="5">
        <v>1.4057</v>
      </c>
      <c r="D38" s="5">
        <v>1.4641</v>
      </c>
      <c r="E38" s="5">
        <v>1.5283</v>
      </c>
      <c r="F38" s="5">
        <v>1.5467</v>
      </c>
      <c r="G38" s="5">
        <v>1.5426</v>
      </c>
      <c r="H38" s="5">
        <v>1.5291</v>
      </c>
      <c r="I38" s="5">
        <v>1.5133</v>
      </c>
      <c r="J38" s="5">
        <v>1.50395</v>
      </c>
      <c r="K38" s="5">
        <v>1.4946</v>
      </c>
      <c r="L38" s="5">
        <v>1.4971</v>
      </c>
      <c r="M38" s="5">
        <v>1.4996</v>
      </c>
      <c r="N38" s="5">
        <v>1.5065</v>
      </c>
      <c r="O38" s="5">
        <v>1.5134</v>
      </c>
      <c r="P38" s="5">
        <v>1.5223</v>
      </c>
      <c r="Q38" s="5">
        <v>1.5312</v>
      </c>
      <c r="R38" s="5">
        <v>1.54135</v>
      </c>
      <c r="S38" s="5">
        <v>1.5515</v>
      </c>
      <c r="T38" s="5">
        <v>1.5593</v>
      </c>
      <c r="U38" s="5">
        <v>1.5671</v>
      </c>
    </row>
    <row r="39" ht="12.75" customHeight="1">
      <c r="B39" s="5">
        <v>15.0</v>
      </c>
      <c r="C39" s="5">
        <v>1.2043</v>
      </c>
      <c r="D39" s="5">
        <v>1.402</v>
      </c>
      <c r="E39" s="5">
        <v>1.5302</v>
      </c>
      <c r="F39" s="5">
        <v>1.5369</v>
      </c>
      <c r="G39" s="5">
        <v>1.5522</v>
      </c>
      <c r="H39" s="5">
        <v>1.5348</v>
      </c>
      <c r="I39" s="5">
        <v>1.5207</v>
      </c>
      <c r="J39" s="5">
        <v>1.5134</v>
      </c>
      <c r="K39" s="5">
        <v>1.5061</v>
      </c>
      <c r="L39" s="5">
        <v>1.50845</v>
      </c>
      <c r="M39" s="5">
        <v>1.5108</v>
      </c>
      <c r="N39" s="5">
        <v>1.51965</v>
      </c>
      <c r="O39" s="5">
        <v>1.5285</v>
      </c>
      <c r="P39" s="5">
        <v>1.53835</v>
      </c>
      <c r="Q39" s="5">
        <v>1.5482</v>
      </c>
      <c r="R39" s="5">
        <v>1.55275</v>
      </c>
      <c r="S39" s="5">
        <v>1.5573</v>
      </c>
      <c r="T39" s="5">
        <v>1.56725</v>
      </c>
      <c r="U39" s="5">
        <v>1.5772</v>
      </c>
    </row>
    <row r="40" ht="12.75" customHeight="1">
      <c r="B40" s="5">
        <v>15.5</v>
      </c>
      <c r="C40" s="5">
        <v>1.11065</v>
      </c>
      <c r="D40" s="5">
        <v>1.3327</v>
      </c>
      <c r="E40" s="5">
        <v>1.4815</v>
      </c>
      <c r="F40" s="5">
        <v>1.5341</v>
      </c>
      <c r="G40" s="5">
        <v>1.5371</v>
      </c>
      <c r="H40" s="5">
        <v>1.5372</v>
      </c>
      <c r="I40" s="5">
        <v>1.5274</v>
      </c>
      <c r="J40" s="5">
        <v>1.523</v>
      </c>
      <c r="K40" s="5">
        <v>1.5186</v>
      </c>
      <c r="L40" s="5">
        <v>1.52175</v>
      </c>
      <c r="M40" s="5">
        <v>1.5249</v>
      </c>
      <c r="N40" s="5">
        <v>1.53265</v>
      </c>
      <c r="O40" s="5">
        <v>1.5404</v>
      </c>
      <c r="P40" s="5">
        <v>1.54695</v>
      </c>
      <c r="Q40" s="5">
        <v>1.5535</v>
      </c>
      <c r="R40" s="5">
        <v>1.56345</v>
      </c>
      <c r="S40" s="5">
        <v>1.5734</v>
      </c>
      <c r="T40" s="5">
        <v>1.5819</v>
      </c>
      <c r="U40" s="5">
        <v>1.5904</v>
      </c>
    </row>
    <row r="41" ht="12.75" customHeight="1">
      <c r="B41" s="5">
        <v>16.0</v>
      </c>
      <c r="C41" s="5">
        <v>1.017</v>
      </c>
      <c r="D41" s="5">
        <v>1.2696</v>
      </c>
      <c r="E41" s="5">
        <v>1.4249</v>
      </c>
      <c r="F41" s="5">
        <v>1.5056</v>
      </c>
      <c r="G41" s="5">
        <v>1.5219</v>
      </c>
      <c r="H41" s="5">
        <v>1.5426</v>
      </c>
      <c r="I41" s="5">
        <v>1.535</v>
      </c>
      <c r="J41" s="5">
        <v>1.5311</v>
      </c>
      <c r="K41" s="5">
        <v>1.5272</v>
      </c>
      <c r="L41" s="5">
        <v>1.53005</v>
      </c>
      <c r="M41" s="5">
        <v>1.5329</v>
      </c>
      <c r="N41" s="5">
        <v>1.5395</v>
      </c>
      <c r="O41" s="5">
        <v>1.5461</v>
      </c>
      <c r="P41" s="5">
        <v>1.55585</v>
      </c>
      <c r="Q41" s="5">
        <v>1.5656</v>
      </c>
      <c r="R41" s="5">
        <v>1.5739</v>
      </c>
      <c r="S41" s="5">
        <v>1.5822</v>
      </c>
      <c r="T41" s="5">
        <v>1.58645</v>
      </c>
      <c r="U41" s="5">
        <v>1.5907</v>
      </c>
    </row>
    <row r="42" ht="12.75" customHeight="1">
      <c r="B42" s="5">
        <v>16.5</v>
      </c>
      <c r="C42" s="5">
        <v>1.032</v>
      </c>
      <c r="D42" s="5">
        <v>1.1034</v>
      </c>
      <c r="E42" s="5">
        <v>1.3662</v>
      </c>
      <c r="F42" s="5">
        <v>1.4546</v>
      </c>
      <c r="G42" s="5">
        <v>1.5102</v>
      </c>
      <c r="H42" s="5">
        <v>1.5298</v>
      </c>
      <c r="I42" s="5">
        <v>1.5332</v>
      </c>
      <c r="J42" s="5">
        <v>1.53315</v>
      </c>
      <c r="K42" s="5">
        <v>1.5331</v>
      </c>
      <c r="L42" s="5">
        <v>1.53635</v>
      </c>
      <c r="M42" s="5">
        <v>1.5396</v>
      </c>
      <c r="N42" s="5">
        <v>1.5473</v>
      </c>
      <c r="O42" s="5">
        <v>1.555</v>
      </c>
      <c r="P42" s="5">
        <v>1.56255</v>
      </c>
      <c r="Q42" s="5">
        <v>1.5701</v>
      </c>
      <c r="R42" s="5">
        <v>1.5766</v>
      </c>
      <c r="S42" s="5">
        <v>1.5831</v>
      </c>
      <c r="T42" s="5">
        <v>1.5932</v>
      </c>
      <c r="U42" s="5">
        <v>1.6033</v>
      </c>
    </row>
    <row r="43" ht="12.75" customHeight="1">
      <c r="B43" s="5">
        <v>17.0</v>
      </c>
      <c r="C43" s="5">
        <v>1.0394</v>
      </c>
      <c r="D43" s="5">
        <v>1.0766</v>
      </c>
      <c r="E43" s="5">
        <v>1.161</v>
      </c>
      <c r="F43" s="5">
        <v>1.3977</v>
      </c>
      <c r="G43" s="5">
        <v>1.4977</v>
      </c>
      <c r="H43" s="5">
        <v>1.5104</v>
      </c>
      <c r="I43" s="5">
        <v>1.5324</v>
      </c>
      <c r="J43" s="5">
        <v>1.5351</v>
      </c>
      <c r="K43" s="5">
        <v>1.5378</v>
      </c>
      <c r="L43" s="5">
        <v>1.54175</v>
      </c>
      <c r="M43" s="5">
        <v>1.5457</v>
      </c>
      <c r="N43" s="5">
        <v>1.55165</v>
      </c>
      <c r="O43" s="5">
        <v>1.5576</v>
      </c>
      <c r="P43" s="5">
        <v>1.56415</v>
      </c>
      <c r="Q43" s="5">
        <v>1.5707</v>
      </c>
      <c r="R43" s="5">
        <v>1.58105</v>
      </c>
      <c r="S43" s="5">
        <v>1.5914</v>
      </c>
      <c r="T43" s="5">
        <v>1.6004</v>
      </c>
      <c r="U43" s="5">
        <v>1.6094</v>
      </c>
    </row>
    <row r="44" ht="12.75" customHeight="1">
      <c r="B44" s="5">
        <v>17.5</v>
      </c>
      <c r="C44" s="5">
        <v>1.0518</v>
      </c>
      <c r="D44" s="5">
        <v>1.0679</v>
      </c>
      <c r="E44" s="5">
        <v>1.0879</v>
      </c>
      <c r="F44" s="5">
        <v>1.3365</v>
      </c>
      <c r="G44" s="5">
        <v>1.4492</v>
      </c>
      <c r="H44" s="5">
        <v>1.485</v>
      </c>
      <c r="I44" s="5">
        <v>1.529</v>
      </c>
      <c r="J44" s="5">
        <v>1.5327</v>
      </c>
      <c r="K44" s="5">
        <v>1.5364</v>
      </c>
      <c r="L44" s="5">
        <v>1.54195</v>
      </c>
      <c r="M44" s="5">
        <v>1.5475</v>
      </c>
      <c r="N44" s="5">
        <v>1.5521</v>
      </c>
      <c r="O44" s="5">
        <v>1.5567</v>
      </c>
      <c r="P44" s="5">
        <v>1.5661</v>
      </c>
      <c r="Q44" s="5">
        <v>1.5755</v>
      </c>
      <c r="R44" s="5">
        <v>1.58475</v>
      </c>
      <c r="S44" s="5">
        <v>1.594</v>
      </c>
      <c r="T44" s="5">
        <v>1.59695</v>
      </c>
      <c r="U44" s="5">
        <v>1.5999</v>
      </c>
    </row>
    <row r="45" ht="12.75" customHeight="1">
      <c r="B45" s="5">
        <v>18.0</v>
      </c>
      <c r="C45" s="5">
        <v>1.0657</v>
      </c>
      <c r="D45" s="5">
        <v>1.0842</v>
      </c>
      <c r="E45" s="5">
        <v>1.1132</v>
      </c>
      <c r="F45" s="5">
        <v>1.0894</v>
      </c>
      <c r="G45" s="5">
        <v>1.3938</v>
      </c>
      <c r="H45" s="5">
        <v>1.4525</v>
      </c>
      <c r="I45" s="5">
        <v>1.5018</v>
      </c>
      <c r="J45" s="5">
        <v>1.51775</v>
      </c>
      <c r="K45" s="5">
        <v>1.5337</v>
      </c>
      <c r="L45" s="5">
        <v>1.53835</v>
      </c>
      <c r="M45" s="5">
        <v>1.543</v>
      </c>
      <c r="N45" s="5">
        <v>1.55055</v>
      </c>
      <c r="O45" s="5">
        <v>1.5581</v>
      </c>
      <c r="P45" s="5">
        <v>1.567</v>
      </c>
      <c r="Q45" s="5">
        <v>1.5759</v>
      </c>
      <c r="R45" s="5">
        <v>1.57925</v>
      </c>
      <c r="S45" s="5">
        <v>1.5826</v>
      </c>
      <c r="T45" s="5">
        <v>1.5923</v>
      </c>
      <c r="U45" s="5">
        <v>1.602</v>
      </c>
    </row>
    <row r="46" ht="12.75" customHeight="1">
      <c r="B46" s="5">
        <v>18.5</v>
      </c>
      <c r="C46" s="5">
        <v>1.0953</v>
      </c>
      <c r="D46" s="5">
        <v>1.1002</v>
      </c>
      <c r="E46" s="5">
        <v>1.0927</v>
      </c>
      <c r="F46" s="5">
        <v>1.1008</v>
      </c>
      <c r="G46" s="5">
        <v>1.3286</v>
      </c>
      <c r="H46" s="5">
        <v>1.4026</v>
      </c>
      <c r="I46" s="5">
        <v>1.4694</v>
      </c>
      <c r="J46" s="5">
        <v>1.4988</v>
      </c>
      <c r="K46" s="5">
        <v>1.5282</v>
      </c>
      <c r="L46" s="5">
        <v>1.53335</v>
      </c>
      <c r="M46" s="5">
        <v>1.5385</v>
      </c>
      <c r="N46" s="5">
        <v>1.5471</v>
      </c>
      <c r="O46" s="5">
        <v>1.5557</v>
      </c>
      <c r="P46" s="5">
        <v>1.5612</v>
      </c>
      <c r="Q46" s="5">
        <v>1.5667</v>
      </c>
      <c r="R46" s="5">
        <v>1.57355</v>
      </c>
      <c r="S46" s="5">
        <v>1.5804</v>
      </c>
      <c r="T46" s="5">
        <v>1.5909</v>
      </c>
      <c r="U46" s="5">
        <v>1.6014</v>
      </c>
    </row>
    <row r="47" ht="12.75" customHeight="1">
      <c r="B47" s="5">
        <v>19.0</v>
      </c>
      <c r="C47" s="5">
        <v>1.1239</v>
      </c>
      <c r="D47" s="5">
        <v>1.0955</v>
      </c>
      <c r="E47" s="5">
        <v>1.1415</v>
      </c>
      <c r="F47" s="5">
        <v>1.1384</v>
      </c>
      <c r="G47" s="5">
        <v>1.1033</v>
      </c>
      <c r="H47" s="5">
        <v>1.1844</v>
      </c>
      <c r="I47" s="5">
        <v>1.4257</v>
      </c>
      <c r="J47" s="5">
        <v>1.4657</v>
      </c>
      <c r="K47" s="5">
        <v>1.5057</v>
      </c>
      <c r="L47" s="5">
        <v>1.51775</v>
      </c>
      <c r="M47" s="5">
        <v>1.5298</v>
      </c>
      <c r="N47" s="5">
        <v>1.5394</v>
      </c>
      <c r="O47" s="5">
        <v>1.549</v>
      </c>
      <c r="P47" s="5">
        <v>1.55285</v>
      </c>
      <c r="Q47" s="5">
        <v>1.5567</v>
      </c>
      <c r="R47" s="5">
        <v>1.56655</v>
      </c>
      <c r="S47" s="5">
        <v>1.5764</v>
      </c>
      <c r="T47" s="5">
        <v>1.58685</v>
      </c>
      <c r="U47" s="5">
        <v>1.5973</v>
      </c>
    </row>
    <row r="48" ht="12.75" customHeight="1">
      <c r="B48" s="5">
        <v>19.5</v>
      </c>
      <c r="C48" s="5">
        <v>1.1003</v>
      </c>
      <c r="D48" s="5">
        <v>1.1313</v>
      </c>
      <c r="E48" s="5">
        <v>1.1064</v>
      </c>
      <c r="F48" s="5">
        <v>1.1244</v>
      </c>
      <c r="G48" s="5">
        <v>1.1397</v>
      </c>
      <c r="H48" s="5">
        <v>1.14925</v>
      </c>
      <c r="I48" s="5">
        <v>1.3605</v>
      </c>
      <c r="J48" s="5">
        <v>1.42065</v>
      </c>
      <c r="K48" s="5">
        <v>1.4808</v>
      </c>
      <c r="L48" s="5">
        <v>1.4997</v>
      </c>
      <c r="M48" s="5">
        <v>1.5186</v>
      </c>
      <c r="N48" s="5">
        <v>1.5243</v>
      </c>
      <c r="O48" s="5">
        <v>1.53</v>
      </c>
      <c r="P48" s="5">
        <v>1.5397</v>
      </c>
      <c r="Q48" s="5">
        <v>1.5494</v>
      </c>
      <c r="R48" s="5">
        <v>1.5594</v>
      </c>
      <c r="S48" s="5">
        <v>1.5694</v>
      </c>
      <c r="T48" s="5">
        <v>1.5784</v>
      </c>
      <c r="U48" s="5">
        <v>1.5874</v>
      </c>
    </row>
    <row r="49" ht="12.75" customHeight="1">
      <c r="B49" s="5">
        <v>20.0</v>
      </c>
      <c r="C49" s="5">
        <v>1.1166</v>
      </c>
      <c r="D49" s="5">
        <v>1.1201</v>
      </c>
      <c r="E49" s="5">
        <v>1.1126</v>
      </c>
      <c r="F49" s="5">
        <v>1.1113</v>
      </c>
      <c r="G49" s="5">
        <v>1.1408</v>
      </c>
      <c r="H49" s="5">
        <v>1.1141</v>
      </c>
      <c r="I49" s="5">
        <v>1.2494</v>
      </c>
      <c r="J49" s="5">
        <v>1.34805</v>
      </c>
      <c r="K49" s="5">
        <v>1.4467</v>
      </c>
      <c r="L49" s="5">
        <v>1.47625</v>
      </c>
      <c r="M49" s="5">
        <v>1.5058</v>
      </c>
      <c r="N49" s="5">
        <v>1.51185</v>
      </c>
      <c r="O49" s="5">
        <v>1.5179</v>
      </c>
      <c r="P49" s="5">
        <v>1.52835</v>
      </c>
      <c r="Q49" s="5">
        <v>1.5388</v>
      </c>
      <c r="R49" s="5">
        <v>1.5493</v>
      </c>
      <c r="S49" s="5">
        <v>1.5598</v>
      </c>
      <c r="T49" s="5">
        <v>1.5624</v>
      </c>
      <c r="U49" s="5">
        <v>1.565</v>
      </c>
    </row>
    <row r="50" ht="12.75" customHeight="1">
      <c r="B50" s="5">
        <v>20.5</v>
      </c>
      <c r="C50" s="5">
        <v>1.1236</v>
      </c>
      <c r="D50" s="5">
        <v>1.1207</v>
      </c>
      <c r="E50" s="5">
        <v>1.162</v>
      </c>
      <c r="F50" s="5">
        <v>1.1264</v>
      </c>
      <c r="G50" s="5">
        <v>1.1309</v>
      </c>
      <c r="H50" s="5">
        <v>1.1321</v>
      </c>
      <c r="I50" s="5">
        <v>1.1383</v>
      </c>
      <c r="J50" s="5">
        <v>1.26875</v>
      </c>
      <c r="K50" s="5">
        <v>1.3992</v>
      </c>
      <c r="L50" s="5">
        <v>1.44225</v>
      </c>
      <c r="M50" s="5">
        <v>1.4853</v>
      </c>
      <c r="N50" s="5">
        <v>1.49295</v>
      </c>
      <c r="O50" s="5">
        <v>1.5006</v>
      </c>
      <c r="P50" s="5">
        <v>1.51325</v>
      </c>
      <c r="Q50" s="5">
        <v>1.5259</v>
      </c>
      <c r="R50" s="5">
        <v>1.5345</v>
      </c>
      <c r="S50" s="5">
        <v>1.5431</v>
      </c>
      <c r="T50" s="5">
        <v>1.54675</v>
      </c>
      <c r="U50" s="5">
        <v>1.5504</v>
      </c>
    </row>
    <row r="51" ht="12.75" customHeight="1">
      <c r="B51" s="5">
        <v>21.0</v>
      </c>
      <c r="C51" s="5">
        <v>1.1306</v>
      </c>
      <c r="D51" s="5">
        <v>1.1689</v>
      </c>
      <c r="E51" s="5">
        <v>1.1508</v>
      </c>
      <c r="F51" s="5">
        <v>1.163</v>
      </c>
      <c r="G51" s="5">
        <v>1.1276</v>
      </c>
      <c r="H51" s="5">
        <v>1.1527</v>
      </c>
      <c r="I51" s="5">
        <v>1.129</v>
      </c>
      <c r="J51" s="5">
        <v>1.13775</v>
      </c>
      <c r="K51" s="5">
        <v>1.1465</v>
      </c>
      <c r="L51" s="5">
        <v>1.29735</v>
      </c>
      <c r="M51" s="5">
        <v>1.4482</v>
      </c>
      <c r="N51" s="5">
        <v>1.4632</v>
      </c>
      <c r="O51" s="5">
        <v>1.4782</v>
      </c>
      <c r="P51" s="5">
        <v>1.49485</v>
      </c>
      <c r="Q51" s="5">
        <v>1.5115</v>
      </c>
      <c r="R51" s="5">
        <v>1.5136</v>
      </c>
      <c r="S51" s="5">
        <v>1.5157</v>
      </c>
      <c r="T51" s="5">
        <v>1.52585</v>
      </c>
      <c r="U51" s="5">
        <v>1.536</v>
      </c>
    </row>
    <row r="52" ht="12.75" customHeight="1"/>
    <row r="53" ht="12.75" customHeight="1"/>
    <row r="54" ht="12.75" customHeight="1">
      <c r="C54" s="4" t="s">
        <v>8</v>
      </c>
      <c r="D54" s="4" t="s">
        <v>8</v>
      </c>
      <c r="E54" s="4" t="s">
        <v>8</v>
      </c>
      <c r="F54" s="4" t="s">
        <v>8</v>
      </c>
      <c r="G54" s="4" t="s">
        <v>8</v>
      </c>
      <c r="H54" s="4" t="s">
        <v>8</v>
      </c>
      <c r="I54" s="4" t="s">
        <v>8</v>
      </c>
      <c r="J54" s="4" t="s">
        <v>8</v>
      </c>
      <c r="K54" s="4" t="s">
        <v>8</v>
      </c>
      <c r="L54" s="4" t="s">
        <v>8</v>
      </c>
      <c r="M54" s="4" t="s">
        <v>8</v>
      </c>
      <c r="N54" s="4" t="s">
        <v>8</v>
      </c>
      <c r="O54" s="4" t="s">
        <v>8</v>
      </c>
      <c r="P54" s="4" t="s">
        <v>8</v>
      </c>
      <c r="Q54" s="4" t="s">
        <v>8</v>
      </c>
      <c r="R54" s="4" t="s">
        <v>8</v>
      </c>
      <c r="S54" s="4" t="s">
        <v>8</v>
      </c>
      <c r="T54" s="4" t="s">
        <v>8</v>
      </c>
      <c r="U54" s="4" t="s">
        <v>8</v>
      </c>
      <c r="W54" s="1" t="s">
        <v>1</v>
      </c>
      <c r="X54" s="1"/>
      <c r="Y54" s="1"/>
      <c r="Z54" s="1"/>
      <c r="AA54" s="1"/>
      <c r="AB54" s="1" t="s">
        <v>2</v>
      </c>
      <c r="AC54" s="1" t="s">
        <v>3</v>
      </c>
      <c r="AE54" s="1"/>
      <c r="AF54" s="1"/>
      <c r="AG54" s="1"/>
      <c r="AH54" s="1"/>
      <c r="AI54" s="1" t="s">
        <v>4</v>
      </c>
      <c r="AK54" s="1" t="s">
        <v>5</v>
      </c>
      <c r="AM54" s="1" t="s">
        <v>6</v>
      </c>
      <c r="AN54" s="1" t="s">
        <v>7</v>
      </c>
      <c r="AO54" s="1" t="s">
        <v>8</v>
      </c>
    </row>
    <row r="55" ht="12.75" customHeight="1">
      <c r="B55" s="5"/>
      <c r="C55" s="5">
        <v>50000.0</v>
      </c>
      <c r="D55" s="5">
        <v>75000.0</v>
      </c>
      <c r="E55" s="5">
        <v>100000.0</v>
      </c>
      <c r="F55" s="5">
        <v>125000.0</v>
      </c>
      <c r="G55" s="5">
        <v>150000.0</v>
      </c>
      <c r="H55" s="5">
        <v>175000.0</v>
      </c>
      <c r="I55" s="5">
        <v>200000.0</v>
      </c>
      <c r="J55" s="5">
        <v>225000.0</v>
      </c>
      <c r="K55" s="5">
        <v>250000.0</v>
      </c>
      <c r="L55" s="5">
        <v>275000.0</v>
      </c>
      <c r="M55" s="5">
        <v>300000.0</v>
      </c>
      <c r="N55" s="5">
        <v>325000.0</v>
      </c>
      <c r="O55" s="5">
        <v>350000.0</v>
      </c>
      <c r="P55" s="5">
        <v>375000.0</v>
      </c>
      <c r="Q55" s="5">
        <v>400000.0</v>
      </c>
      <c r="R55" s="5">
        <v>425000.0</v>
      </c>
      <c r="S55" s="5">
        <v>450000.0</v>
      </c>
      <c r="T55" s="5">
        <v>475000.0</v>
      </c>
      <c r="U55" s="5">
        <v>500000.0</v>
      </c>
      <c r="W55" s="2" t="str">
        <f>IF('расчет'!R22&lt;50000,50000,'расчет'!R22)</f>
        <v>163883.2139</v>
      </c>
      <c r="X55" s="2" t="str">
        <f t="shared" ref="X55:X71" si="28">IF((W55&gt;475000),475000,(ROUNDDOWN((W55/25000),0))*25000)</f>
        <v>150000</v>
      </c>
      <c r="Y55" s="2" t="str">
        <f t="shared" ref="Y55:Y71" si="29">X55+25000</f>
        <v>175000</v>
      </c>
      <c r="Z55" s="2" t="str">
        <f t="shared" ref="Z55:Z71" si="30">IF((W55&gt;500000),0,(Y55-W55)/25000)</f>
        <v>0.444671445</v>
      </c>
      <c r="AA55" s="2" t="str">
        <f t="shared" ref="AA55:AA71" si="31">1-Z55</f>
        <v>0.555328555</v>
      </c>
      <c r="AB55" s="2" t="str">
        <f>'расчет'!P22</f>
        <v>7.018095386</v>
      </c>
      <c r="AC55" s="1">
        <v>-2.0</v>
      </c>
      <c r="AD55" s="1">
        <v>21.0</v>
      </c>
      <c r="AE55" s="2" t="str">
        <f t="shared" ref="AE55:AE71" si="33">IF(AB55&gt;0,ROUNDDOWN((AB55/0.5),0)*0.5,ROUNDUP((AB55/0.5),0)*0.5)</f>
        <v>7</v>
      </c>
      <c r="AF55" s="2" t="str">
        <f t="shared" ref="AF55:AF71" si="34">AE55+0.5</f>
        <v>7.5</v>
      </c>
      <c r="AG55" s="2" t="str">
        <f t="shared" ref="AG55:AG71" si="35">(AF55-AB55)/0.5</f>
        <v>0.9638092287</v>
      </c>
      <c r="AH55" s="2" t="str">
        <f t="shared" ref="AH55:AH71" si="36">1-AG55</f>
        <v>0.03619077129</v>
      </c>
      <c r="AI55" s="2" t="str">
        <f>VLOOKUP(AE55,B56:U102,(X55/25000),FALSE)</f>
        <v>69.73898858</v>
      </c>
      <c r="AJ55" s="2" t="str">
        <f>VLOOKUP(AF55,B56:U102,(X55/25000),FALSE)</f>
        <v>59.48169282</v>
      </c>
      <c r="AK55" s="2" t="str">
        <f>VLOOKUP(AE55,B56:U102,(Y55/25000),FALSE)</f>
        <v>72.55416192</v>
      </c>
      <c r="AL55" s="2" t="str">
        <f>VLOOKUP(AF55,B56:U102,(Y55/25000),FALSE)</f>
        <v>54.9886929</v>
      </c>
      <c r="AM55" s="2" t="str">
        <f t="shared" ref="AM55:AM71" si="37">AI55*AG55+AJ55*AH55</f>
        <v>69.36776914</v>
      </c>
      <c r="AN55" s="2" t="str">
        <f t="shared" ref="AN55:AN71" si="38">AK55*AG55+AL55*AH55</f>
        <v>71.91845405</v>
      </c>
      <c r="AO55" s="2" t="str">
        <f t="shared" ref="AO55:AO71" si="39">AM55*Z55+AN55*AA55</f>
        <v>70.7842373</v>
      </c>
    </row>
    <row r="56" ht="12.75" customHeight="1">
      <c r="B56" s="5">
        <v>-2.0</v>
      </c>
      <c r="C56" s="5">
        <v>1.0</v>
      </c>
      <c r="D56" s="5">
        <v>1.0</v>
      </c>
      <c r="E56" s="5">
        <v>1.0</v>
      </c>
      <c r="F56" s="5">
        <v>1.0</v>
      </c>
      <c r="G56" s="5">
        <v>1.399398449</v>
      </c>
      <c r="H56" s="5">
        <v>3.187066975</v>
      </c>
      <c r="I56" s="5">
        <v>4.746935548</v>
      </c>
      <c r="J56" s="5">
        <v>5.666841278</v>
      </c>
      <c r="K56" s="5">
        <v>6.70381101</v>
      </c>
      <c r="L56" s="5">
        <v>9.175219488</v>
      </c>
      <c r="M56" s="5">
        <v>12.25555556</v>
      </c>
      <c r="N56" s="5">
        <v>14.5095057</v>
      </c>
      <c r="O56" s="5">
        <v>17.23697479</v>
      </c>
      <c r="P56" s="5">
        <v>22.95531915</v>
      </c>
      <c r="Q56" s="5">
        <v>32.8173913</v>
      </c>
      <c r="R56" s="5">
        <v>36.36619718</v>
      </c>
      <c r="S56" s="5">
        <v>40.53061224</v>
      </c>
      <c r="T56" s="5">
        <v>43.40057637</v>
      </c>
      <c r="U56" s="5">
        <v>46.63093415</v>
      </c>
      <c r="W56" s="2" t="str">
        <f>IF('расчет'!R23&lt;50000,50000,'расчет'!R23)</f>
        <v>161126.0378</v>
      </c>
      <c r="X56" s="2" t="str">
        <f t="shared" si="28"/>
        <v>150000</v>
      </c>
      <c r="Y56" s="2" t="str">
        <f t="shared" si="29"/>
        <v>175000</v>
      </c>
      <c r="Z56" s="2" t="str">
        <f t="shared" si="30"/>
        <v>0.5549584897</v>
      </c>
      <c r="AA56" s="2" t="str">
        <f t="shared" si="31"/>
        <v>0.4450415103</v>
      </c>
      <c r="AB56" s="2" t="str">
        <f>'расчет'!P23</f>
        <v>7.75866912</v>
      </c>
      <c r="AC56" s="2" t="str">
        <f t="shared" ref="AC56:AD56" si="32">AC55</f>
        <v>-2</v>
      </c>
      <c r="AD56" s="2" t="str">
        <f t="shared" si="32"/>
        <v>21</v>
      </c>
      <c r="AE56" s="2" t="str">
        <f t="shared" si="33"/>
        <v>7.5</v>
      </c>
      <c r="AF56" s="2" t="str">
        <f t="shared" si="34"/>
        <v>8</v>
      </c>
      <c r="AG56" s="2" t="str">
        <f t="shared" si="35"/>
        <v>0.4826617596</v>
      </c>
      <c r="AH56" s="2" t="str">
        <f t="shared" si="36"/>
        <v>0.5173382404</v>
      </c>
      <c r="AI56" s="2" t="str">
        <f>VLOOKUP(AE56,B56:U102,(X56/25000),FALSE)</f>
        <v>59.48169282</v>
      </c>
      <c r="AJ56" s="2" t="str">
        <f>VLOOKUP(AF56,B56:U102,(X56/25000),FALSE)</f>
        <v>46.27541235</v>
      </c>
      <c r="AK56" s="2" t="str">
        <f>VLOOKUP(AE56,B56:U102,(Y56/25000),FALSE)</f>
        <v>54.9886929</v>
      </c>
      <c r="AL56" s="2" t="str">
        <f>VLOOKUP(AF56,B56:U102,(Y56/25000),FALSE)</f>
        <v>46.02303263</v>
      </c>
      <c r="AM56" s="2" t="str">
        <f t="shared" si="37"/>
        <v>52.64957892</v>
      </c>
      <c r="AN56" s="2" t="str">
        <f t="shared" si="38"/>
        <v>50.35041399</v>
      </c>
      <c r="AO56" s="2" t="str">
        <f t="shared" si="39"/>
        <v>51.62635509</v>
      </c>
    </row>
    <row r="57" ht="12.75" customHeight="1">
      <c r="B57" s="5">
        <v>-1.5</v>
      </c>
      <c r="C57" s="5">
        <v>1.0</v>
      </c>
      <c r="D57" s="5">
        <v>1.0</v>
      </c>
      <c r="E57" s="5">
        <v>1.0</v>
      </c>
      <c r="F57" s="5">
        <v>1.726574501</v>
      </c>
      <c r="G57" s="5">
        <v>2.644754768</v>
      </c>
      <c r="H57" s="5">
        <v>4.675450494</v>
      </c>
      <c r="I57" s="5">
        <v>7.091070833</v>
      </c>
      <c r="J57" s="5">
        <v>8.587981029</v>
      </c>
      <c r="K57" s="5">
        <v>10.34446764</v>
      </c>
      <c r="L57" s="5">
        <v>12.73536165</v>
      </c>
      <c r="M57" s="5">
        <v>15.65688776</v>
      </c>
      <c r="N57" s="5">
        <v>20.00551065</v>
      </c>
      <c r="O57" s="5">
        <v>25.91421144</v>
      </c>
      <c r="P57" s="5">
        <v>30.04406365</v>
      </c>
      <c r="Q57" s="5">
        <v>35.407991</v>
      </c>
      <c r="R57" s="5">
        <v>38.67399939</v>
      </c>
      <c r="S57" s="5">
        <v>42.55347594</v>
      </c>
      <c r="T57" s="5">
        <v>45.8294849</v>
      </c>
      <c r="U57" s="5">
        <v>49.54510993</v>
      </c>
      <c r="W57" s="2" t="str">
        <f>IF('расчет'!R24&lt;50000,50000,'расчет'!R24)</f>
        <v>158297.851</v>
      </c>
      <c r="X57" s="2" t="str">
        <f t="shared" si="28"/>
        <v>150000</v>
      </c>
      <c r="Y57" s="2" t="str">
        <f t="shared" si="29"/>
        <v>175000</v>
      </c>
      <c r="Z57" s="2" t="str">
        <f t="shared" si="30"/>
        <v>0.6680859584</v>
      </c>
      <c r="AA57" s="2" t="str">
        <f t="shared" si="31"/>
        <v>0.3319140416</v>
      </c>
      <c r="AB57" s="2" t="str">
        <f>'расчет'!P24</f>
        <v>8.407959642</v>
      </c>
      <c r="AC57" s="2" t="str">
        <f t="shared" ref="AC57:AD57" si="40">AC56</f>
        <v>-2</v>
      </c>
      <c r="AD57" s="2" t="str">
        <f t="shared" si="40"/>
        <v>21</v>
      </c>
      <c r="AE57" s="2" t="str">
        <f t="shared" si="33"/>
        <v>8</v>
      </c>
      <c r="AF57" s="2" t="str">
        <f t="shared" si="34"/>
        <v>8.5</v>
      </c>
      <c r="AG57" s="2" t="str">
        <f t="shared" si="35"/>
        <v>0.1840807162</v>
      </c>
      <c r="AH57" s="2" t="str">
        <f t="shared" si="36"/>
        <v>0.8159192838</v>
      </c>
      <c r="AI57" s="2" t="str">
        <f>VLOOKUP(AE57,B56:U102,(X57/25000),FALSE)</f>
        <v>46.27541235</v>
      </c>
      <c r="AJ57" s="2" t="str">
        <f>VLOOKUP(AF57,B56:U102,(X57/25000),FALSE)</f>
        <v>41.62366701</v>
      </c>
      <c r="AK57" s="2" t="str">
        <f>VLOOKUP(AE57,B56:U102,(Y57/25000),FALSE)</f>
        <v>46.02303263</v>
      </c>
      <c r="AL57" s="2" t="str">
        <f>VLOOKUP(AF57,B56:U102,(Y57/25000),FALSE)</f>
        <v>42.45706274</v>
      </c>
      <c r="AM57" s="2" t="str">
        <f t="shared" si="37"/>
        <v>42.47996362</v>
      </c>
      <c r="AN57" s="2" t="str">
        <f t="shared" si="38"/>
        <v>43.11348903</v>
      </c>
      <c r="AO57" s="2" t="str">
        <f t="shared" si="39"/>
        <v>42.6902396</v>
      </c>
    </row>
    <row r="58" ht="12.75" customHeight="1">
      <c r="B58" s="5">
        <v>-1.0</v>
      </c>
      <c r="C58" s="5">
        <v>1.0</v>
      </c>
      <c r="D58" s="5">
        <v>1.0</v>
      </c>
      <c r="E58" s="5">
        <v>1.0</v>
      </c>
      <c r="F58" s="5">
        <v>1.94157521</v>
      </c>
      <c r="G58" s="5">
        <v>4.612933458</v>
      </c>
      <c r="H58" s="5">
        <v>6.010912086</v>
      </c>
      <c r="I58" s="5">
        <v>7.574449719</v>
      </c>
      <c r="J58" s="5">
        <v>10.04179471</v>
      </c>
      <c r="K58" s="5">
        <v>13.30762639</v>
      </c>
      <c r="L58" s="5">
        <v>16.30811599</v>
      </c>
      <c r="M58" s="5">
        <v>20.23952096</v>
      </c>
      <c r="N58" s="5">
        <v>23.96486826</v>
      </c>
      <c r="O58" s="5">
        <v>28.68246445</v>
      </c>
      <c r="P58" s="5">
        <v>33.89451252</v>
      </c>
      <c r="Q58" s="5">
        <v>40.58394161</v>
      </c>
      <c r="R58" s="5">
        <v>44.51287064</v>
      </c>
      <c r="S58" s="5">
        <v>49.04561404</v>
      </c>
      <c r="T58" s="5">
        <v>52.27306273</v>
      </c>
      <c r="U58" s="5">
        <v>55.85214008</v>
      </c>
      <c r="W58" s="2" t="str">
        <f>IF('расчет'!R25&lt;50000,50000,'расчет'!R25)</f>
        <v>155303.7932</v>
      </c>
      <c r="X58" s="2" t="str">
        <f t="shared" si="28"/>
        <v>150000</v>
      </c>
      <c r="Y58" s="2" t="str">
        <f t="shared" si="29"/>
        <v>175000</v>
      </c>
      <c r="Z58" s="2" t="str">
        <f t="shared" si="30"/>
        <v>0.7878482728</v>
      </c>
      <c r="AA58" s="2" t="str">
        <f t="shared" si="31"/>
        <v>0.2121517272</v>
      </c>
      <c r="AB58" s="2" t="str">
        <f>'расчет'!P25</f>
        <v>8.972215942</v>
      </c>
      <c r="AC58" s="2" t="str">
        <f t="shared" ref="AC58:AD58" si="41">AC57</f>
        <v>-2</v>
      </c>
      <c r="AD58" s="2" t="str">
        <f t="shared" si="41"/>
        <v>21</v>
      </c>
      <c r="AE58" s="2" t="str">
        <f t="shared" si="33"/>
        <v>8.5</v>
      </c>
      <c r="AF58" s="2" t="str">
        <f t="shared" si="34"/>
        <v>9</v>
      </c>
      <c r="AG58" s="2" t="str">
        <f t="shared" si="35"/>
        <v>0.05556811655</v>
      </c>
      <c r="AH58" s="2" t="str">
        <f t="shared" si="36"/>
        <v>0.9444318834</v>
      </c>
      <c r="AI58" s="2" t="str">
        <f>VLOOKUP(AE58,B56:U102,(X58/25000),FALSE)</f>
        <v>41.62366701</v>
      </c>
      <c r="AJ58" s="2" t="str">
        <f>VLOOKUP(AF58,B56:U102,(X58/25000),FALSE)</f>
        <v>38.8395688</v>
      </c>
      <c r="AK58" s="2" t="str">
        <f>VLOOKUP(AE58,B56:U102,(Y58/25000),FALSE)</f>
        <v>42.45706274</v>
      </c>
      <c r="AL58" s="2" t="str">
        <f>VLOOKUP(AF58,B56:U102,(Y58/25000),FALSE)</f>
        <v>39.44319279</v>
      </c>
      <c r="AM58" s="2" t="str">
        <f t="shared" si="37"/>
        <v>38.99427589</v>
      </c>
      <c r="AN58" s="2" t="str">
        <f t="shared" si="38"/>
        <v>39.61066787</v>
      </c>
      <c r="AO58" s="2" t="str">
        <f t="shared" si="39"/>
        <v>39.12504452</v>
      </c>
    </row>
    <row r="59" ht="12.75" customHeight="1">
      <c r="B59" s="5">
        <v>-0.5</v>
      </c>
      <c r="C59" s="5">
        <v>1.0</v>
      </c>
      <c r="D59" s="5">
        <v>1.0</v>
      </c>
      <c r="E59" s="5">
        <v>1.0</v>
      </c>
      <c r="F59" s="5">
        <v>3.536606081</v>
      </c>
      <c r="G59" s="5">
        <v>4.886167974</v>
      </c>
      <c r="H59" s="5">
        <v>7.524708983</v>
      </c>
      <c r="I59" s="5">
        <v>10.21462441</v>
      </c>
      <c r="J59" s="5">
        <v>12.77781615</v>
      </c>
      <c r="K59" s="5">
        <v>15.95514308</v>
      </c>
      <c r="L59" s="5">
        <v>20.37811746</v>
      </c>
      <c r="M59" s="5">
        <v>26.43371453</v>
      </c>
      <c r="N59" s="5">
        <v>32.03878788</v>
      </c>
      <c r="O59" s="5">
        <v>39.54081633</v>
      </c>
      <c r="P59" s="5">
        <v>44.41939469</v>
      </c>
      <c r="Q59" s="5">
        <v>50.2578019</v>
      </c>
      <c r="R59" s="5">
        <v>53.78136201</v>
      </c>
      <c r="S59" s="5">
        <v>57.72796353</v>
      </c>
      <c r="T59" s="5">
        <v>60.3015873</v>
      </c>
      <c r="U59" s="5">
        <v>63.11461794</v>
      </c>
      <c r="W59" s="2" t="str">
        <f>IF('расчет'!R26&lt;50000,50000,'расчет'!R26)</f>
        <v>152048.384</v>
      </c>
      <c r="X59" s="2" t="str">
        <f t="shared" si="28"/>
        <v>150000</v>
      </c>
      <c r="Y59" s="2" t="str">
        <f t="shared" si="29"/>
        <v>175000</v>
      </c>
      <c r="Z59" s="2" t="str">
        <f t="shared" si="30"/>
        <v>0.9180646404</v>
      </c>
      <c r="AA59" s="2" t="str">
        <f t="shared" si="31"/>
        <v>0.08193535957</v>
      </c>
      <c r="AB59" s="2" t="str">
        <f>'расчет'!P26</f>
        <v>9.459475009</v>
      </c>
      <c r="AC59" s="2" t="str">
        <f t="shared" ref="AC59:AD59" si="42">AC58</f>
        <v>-2</v>
      </c>
      <c r="AD59" s="2" t="str">
        <f t="shared" si="42"/>
        <v>21</v>
      </c>
      <c r="AE59" s="2" t="str">
        <f t="shared" si="33"/>
        <v>9</v>
      </c>
      <c r="AF59" s="2" t="str">
        <f t="shared" si="34"/>
        <v>9.5</v>
      </c>
      <c r="AG59" s="2" t="str">
        <f t="shared" si="35"/>
        <v>0.08104998293</v>
      </c>
      <c r="AH59" s="2" t="str">
        <f t="shared" si="36"/>
        <v>0.9189500171</v>
      </c>
      <c r="AI59" s="2" t="str">
        <f>VLOOKUP(AE59,B56:U102,(X59/25000),FALSE)</f>
        <v>38.8395688</v>
      </c>
      <c r="AJ59" s="2" t="str">
        <f>VLOOKUP(AF59,B56:U102,(X59/25000),FALSE)</f>
        <v>36.65391407</v>
      </c>
      <c r="AK59" s="2" t="str">
        <f>VLOOKUP(AE59,B56:U102,(Y59/25000),FALSE)</f>
        <v>39.44319279</v>
      </c>
      <c r="AL59" s="2" t="str">
        <f>VLOOKUP(AF59,B56:U102,(Y59/25000),FALSE)</f>
        <v>37.93511219</v>
      </c>
      <c r="AM59" s="2" t="str">
        <f t="shared" si="37"/>
        <v>36.83106135</v>
      </c>
      <c r="AN59" s="2" t="str">
        <f t="shared" si="38"/>
        <v>38.0573421</v>
      </c>
      <c r="AO59" s="2" t="str">
        <f t="shared" si="39"/>
        <v>36.9315371</v>
      </c>
    </row>
    <row r="60" ht="12.75" customHeight="1">
      <c r="B60" s="5">
        <v>0.0</v>
      </c>
      <c r="C60" s="5">
        <v>1.0</v>
      </c>
      <c r="D60" s="5">
        <v>1.0</v>
      </c>
      <c r="E60" s="5">
        <v>1.646034662</v>
      </c>
      <c r="F60" s="5">
        <v>4.913400182</v>
      </c>
      <c r="G60" s="5">
        <v>7.20744956</v>
      </c>
      <c r="H60" s="5">
        <v>10.21770335</v>
      </c>
      <c r="I60" s="5">
        <v>13.34150327</v>
      </c>
      <c r="J60" s="5">
        <v>15.90566606</v>
      </c>
      <c r="K60" s="5">
        <v>19.08232119</v>
      </c>
      <c r="L60" s="5">
        <v>26.29862237</v>
      </c>
      <c r="M60" s="5">
        <v>37.14503043</v>
      </c>
      <c r="N60" s="5">
        <v>41.16510215</v>
      </c>
      <c r="O60" s="5">
        <v>45.96969697</v>
      </c>
      <c r="P60" s="5">
        <v>49.60348162</v>
      </c>
      <c r="Q60" s="5">
        <v>53.73278237</v>
      </c>
      <c r="R60" s="5">
        <v>57.43366049</v>
      </c>
      <c r="S60" s="5">
        <v>61.5704388</v>
      </c>
      <c r="T60" s="5">
        <v>65.00604108</v>
      </c>
      <c r="U60" s="5">
        <v>68.77533784</v>
      </c>
      <c r="W60" s="2" t="str">
        <f>IF('расчет'!R27&lt;50000,50000,'расчет'!R27)</f>
        <v>148436.2342</v>
      </c>
      <c r="X60" s="2" t="str">
        <f t="shared" si="28"/>
        <v>125000</v>
      </c>
      <c r="Y60" s="2" t="str">
        <f t="shared" si="29"/>
        <v>150000</v>
      </c>
      <c r="Z60" s="2" t="str">
        <f t="shared" si="30"/>
        <v>0.06255063385</v>
      </c>
      <c r="AA60" s="2" t="str">
        <f t="shared" si="31"/>
        <v>0.9374493661</v>
      </c>
      <c r="AB60" s="2" t="str">
        <f>'расчет'!P27</f>
        <v>9.880167544</v>
      </c>
      <c r="AC60" s="2" t="str">
        <f t="shared" ref="AC60:AD60" si="43">AC59</f>
        <v>-2</v>
      </c>
      <c r="AD60" s="2" t="str">
        <f t="shared" si="43"/>
        <v>21</v>
      </c>
      <c r="AE60" s="2" t="str">
        <f t="shared" si="33"/>
        <v>9.5</v>
      </c>
      <c r="AF60" s="2" t="str">
        <f t="shared" si="34"/>
        <v>10</v>
      </c>
      <c r="AG60" s="2" t="str">
        <f t="shared" si="35"/>
        <v>0.2396649114</v>
      </c>
      <c r="AH60" s="2" t="str">
        <f t="shared" si="36"/>
        <v>0.7603350886</v>
      </c>
      <c r="AI60" s="2" t="str">
        <f>VLOOKUP(AE60,B56:U102,(X60/25000),FALSE)</f>
        <v>35.74015522</v>
      </c>
      <c r="AJ60" s="2" t="str">
        <f>VLOOKUP(AF60,B56:U102,(X60/25000),FALSE)</f>
        <v>34.79160992</v>
      </c>
      <c r="AK60" s="2" t="str">
        <f>VLOOKUP(AE60,B56:U102,(Y60/25000),FALSE)</f>
        <v>36.65391407</v>
      </c>
      <c r="AL60" s="2" t="str">
        <f>VLOOKUP(AF60,B56:U102,(Y60/25000),FALSE)</f>
        <v>35.767507</v>
      </c>
      <c r="AM60" s="2" t="str">
        <f t="shared" si="37"/>
        <v>35.01894295</v>
      </c>
      <c r="AN60" s="2" t="str">
        <f t="shared" si="38"/>
        <v>35.97994767</v>
      </c>
      <c r="AO60" s="2" t="str">
        <f t="shared" si="39"/>
        <v>35.91983622</v>
      </c>
    </row>
    <row r="61" ht="12.75" customHeight="1">
      <c r="B61" s="5">
        <v>0.5</v>
      </c>
      <c r="C61" s="5">
        <v>1.0</v>
      </c>
      <c r="D61" s="5">
        <v>1.0</v>
      </c>
      <c r="E61" s="5">
        <v>2.386854766</v>
      </c>
      <c r="F61" s="5">
        <v>5.424361127</v>
      </c>
      <c r="G61" s="5">
        <v>7.926176388</v>
      </c>
      <c r="H61" s="5">
        <v>11.19506052</v>
      </c>
      <c r="I61" s="5">
        <v>14.9238149</v>
      </c>
      <c r="J61" s="5">
        <v>19.22401171</v>
      </c>
      <c r="K61" s="5">
        <v>25.07875528</v>
      </c>
      <c r="L61" s="5">
        <v>32.43781095</v>
      </c>
      <c r="M61" s="5">
        <v>42.9686641</v>
      </c>
      <c r="N61" s="5">
        <v>47.66526442</v>
      </c>
      <c r="O61" s="5">
        <v>53.32670643</v>
      </c>
      <c r="P61" s="5">
        <v>57.06717452</v>
      </c>
      <c r="Q61" s="5">
        <v>61.16026106</v>
      </c>
      <c r="R61" s="5">
        <v>65.3499044</v>
      </c>
      <c r="S61" s="5">
        <v>70.02427184</v>
      </c>
      <c r="T61" s="5">
        <v>72.48530647</v>
      </c>
      <c r="U61" s="5">
        <v>75.13961606</v>
      </c>
      <c r="W61" s="2" t="str">
        <f>IF('расчет'!R28&lt;50000,50000,'расчет'!R28)</f>
        <v>144372.9701</v>
      </c>
      <c r="X61" s="2" t="str">
        <f t="shared" si="28"/>
        <v>125000</v>
      </c>
      <c r="Y61" s="2" t="str">
        <f t="shared" si="29"/>
        <v>150000</v>
      </c>
      <c r="Z61" s="2" t="str">
        <f t="shared" si="30"/>
        <v>0.2250811965</v>
      </c>
      <c r="AA61" s="2" t="str">
        <f t="shared" si="31"/>
        <v>0.7749188035</v>
      </c>
      <c r="AB61" s="2" t="str">
        <f>'расчет'!P28</f>
        <v>10.2479629</v>
      </c>
      <c r="AC61" s="2" t="str">
        <f t="shared" ref="AC61:AD61" si="44">AC60</f>
        <v>-2</v>
      </c>
      <c r="AD61" s="2" t="str">
        <f t="shared" si="44"/>
        <v>21</v>
      </c>
      <c r="AE61" s="2" t="str">
        <f t="shared" si="33"/>
        <v>10</v>
      </c>
      <c r="AF61" s="2" t="str">
        <f t="shared" si="34"/>
        <v>10.5</v>
      </c>
      <c r="AG61" s="2" t="str">
        <f t="shared" si="35"/>
        <v>0.5040741949</v>
      </c>
      <c r="AH61" s="2" t="str">
        <f t="shared" si="36"/>
        <v>0.4959258051</v>
      </c>
      <c r="AI61" s="2" t="str">
        <f>VLOOKUP(AE61,B56:U102,(X61/25000),FALSE)</f>
        <v>34.79160992</v>
      </c>
      <c r="AJ61" s="2" t="str">
        <f>VLOOKUP(AF61,B56:U102,(X61/25000),FALSE)</f>
        <v>34.40364583</v>
      </c>
      <c r="AK61" s="2" t="str">
        <f>VLOOKUP(AE61,B56:U102,(Y61/25000),FALSE)</f>
        <v>35.767507</v>
      </c>
      <c r="AL61" s="2" t="str">
        <f>VLOOKUP(AF61,B56:U102,(Y61/25000),FALSE)</f>
        <v>35.27340624</v>
      </c>
      <c r="AM61" s="2" t="str">
        <f t="shared" si="37"/>
        <v>34.59920852</v>
      </c>
      <c r="AN61" s="2" t="str">
        <f t="shared" si="38"/>
        <v>35.52246968</v>
      </c>
      <c r="AO61" s="2" t="str">
        <f t="shared" si="39"/>
        <v>35.31466095</v>
      </c>
    </row>
    <row r="62" ht="12.75" customHeight="1">
      <c r="B62" s="5">
        <v>1.0</v>
      </c>
      <c r="C62" s="5">
        <v>1.0</v>
      </c>
      <c r="D62" s="5">
        <v>1.0</v>
      </c>
      <c r="E62" s="5">
        <v>3.514136841</v>
      </c>
      <c r="F62" s="5">
        <v>7.085613761</v>
      </c>
      <c r="G62" s="5">
        <v>9.342230001</v>
      </c>
      <c r="H62" s="5">
        <v>12.20980295</v>
      </c>
      <c r="I62" s="5">
        <v>16.62470726</v>
      </c>
      <c r="J62" s="5">
        <v>22.94692737</v>
      </c>
      <c r="K62" s="5">
        <v>32.28806228</v>
      </c>
      <c r="L62" s="5">
        <v>39.64806435</v>
      </c>
      <c r="M62" s="5">
        <v>49.86194478</v>
      </c>
      <c r="N62" s="5">
        <v>55.84470435</v>
      </c>
      <c r="O62" s="5">
        <v>62.90368272</v>
      </c>
      <c r="P62" s="5">
        <v>66.12579084</v>
      </c>
      <c r="Q62" s="5">
        <v>69.69411765</v>
      </c>
      <c r="R62" s="5">
        <v>73.32786885</v>
      </c>
      <c r="S62" s="5">
        <v>77.30472103</v>
      </c>
      <c r="T62" s="5">
        <v>79.82568402</v>
      </c>
      <c r="U62" s="5">
        <v>82.49318801</v>
      </c>
      <c r="W62" s="2" t="str">
        <f>IF('расчет'!R29&lt;50000,50000,'расчет'!R29)</f>
        <v>139766.3665</v>
      </c>
      <c r="X62" s="2" t="str">
        <f t="shared" si="28"/>
        <v>125000</v>
      </c>
      <c r="Y62" s="2" t="str">
        <f t="shared" si="29"/>
        <v>150000</v>
      </c>
      <c r="Z62" s="2" t="str">
        <f t="shared" si="30"/>
        <v>0.4093453385</v>
      </c>
      <c r="AA62" s="2" t="str">
        <f t="shared" si="31"/>
        <v>0.5906546615</v>
      </c>
      <c r="AB62" s="2" t="str">
        <f>'расчет'!P29</f>
        <v>10.5809717</v>
      </c>
      <c r="AC62" s="2" t="str">
        <f t="shared" ref="AC62:AD62" si="45">AC61</f>
        <v>-2</v>
      </c>
      <c r="AD62" s="2" t="str">
        <f t="shared" si="45"/>
        <v>21</v>
      </c>
      <c r="AE62" s="2" t="str">
        <f t="shared" si="33"/>
        <v>10.5</v>
      </c>
      <c r="AF62" s="2" t="str">
        <f t="shared" si="34"/>
        <v>11</v>
      </c>
      <c r="AG62" s="2" t="str">
        <f t="shared" si="35"/>
        <v>0.8380565967</v>
      </c>
      <c r="AH62" s="2" t="str">
        <f t="shared" si="36"/>
        <v>0.1619434033</v>
      </c>
      <c r="AI62" s="2" t="str">
        <f>VLOOKUP(AE62,B56:U102,(X62/25000),FALSE)</f>
        <v>34.40364583</v>
      </c>
      <c r="AJ62" s="2" t="str">
        <f>VLOOKUP(AF62,B56:U102,(X62/25000),FALSE)</f>
        <v>34.30376611</v>
      </c>
      <c r="AK62" s="2" t="str">
        <f>VLOOKUP(AE62,B56:U102,(Y62/25000),FALSE)</f>
        <v>35.27340624</v>
      </c>
      <c r="AL62" s="2" t="str">
        <f>VLOOKUP(AF62,B56:U102,(Y62/25000),FALSE)</f>
        <v>34.53272218</v>
      </c>
      <c r="AM62" s="2" t="str">
        <f t="shared" si="37"/>
        <v>34.38747097</v>
      </c>
      <c r="AN62" s="2" t="str">
        <f t="shared" si="38"/>
        <v>35.15345734</v>
      </c>
      <c r="AO62" s="2" t="str">
        <f t="shared" si="39"/>
        <v>34.83990439</v>
      </c>
    </row>
    <row r="63" ht="12.75" customHeight="1">
      <c r="B63" s="5">
        <v>1.5</v>
      </c>
      <c r="C63" s="5">
        <v>1.0</v>
      </c>
      <c r="D63" s="5">
        <v>1.820086813</v>
      </c>
      <c r="E63" s="5">
        <v>5.180282181</v>
      </c>
      <c r="F63" s="5">
        <v>7.605606001</v>
      </c>
      <c r="G63" s="5">
        <v>10.08430394</v>
      </c>
      <c r="H63" s="5">
        <v>13.2641175</v>
      </c>
      <c r="I63" s="5">
        <v>20.9398977</v>
      </c>
      <c r="J63" s="5">
        <v>27.53334622</v>
      </c>
      <c r="K63" s="5">
        <v>37.61858191</v>
      </c>
      <c r="L63" s="5">
        <v>44.6147541</v>
      </c>
      <c r="M63" s="5">
        <v>53.47368421</v>
      </c>
      <c r="N63" s="5">
        <v>59.64142091</v>
      </c>
      <c r="O63" s="5">
        <v>66.917458</v>
      </c>
      <c r="P63" s="5">
        <v>71.75925926</v>
      </c>
      <c r="Q63" s="5">
        <v>77.17906787</v>
      </c>
      <c r="R63" s="5">
        <v>81.00425532</v>
      </c>
      <c r="S63" s="5">
        <v>85.1552795</v>
      </c>
      <c r="T63" s="5">
        <v>87.72789739</v>
      </c>
      <c r="U63" s="5">
        <v>90.47348485</v>
      </c>
      <c r="W63" s="2" t="str">
        <f>IF('расчет'!R30&lt;50000,50000,'расчет'!R30)</f>
        <v>134527.6688</v>
      </c>
      <c r="X63" s="2" t="str">
        <f t="shared" si="28"/>
        <v>125000</v>
      </c>
      <c r="Y63" s="2" t="str">
        <f t="shared" si="29"/>
        <v>150000</v>
      </c>
      <c r="Z63" s="2" t="str">
        <f t="shared" si="30"/>
        <v>0.6188932465</v>
      </c>
      <c r="AA63" s="2" t="str">
        <f t="shared" si="31"/>
        <v>0.3811067535</v>
      </c>
      <c r="AB63" s="2" t="str">
        <f>'расчет'!P30</f>
        <v>10.90349584</v>
      </c>
      <c r="AC63" s="2" t="str">
        <f t="shared" ref="AC63:AD63" si="46">AC62</f>
        <v>-2</v>
      </c>
      <c r="AD63" s="2" t="str">
        <f t="shared" si="46"/>
        <v>21</v>
      </c>
      <c r="AE63" s="2" t="str">
        <f t="shared" si="33"/>
        <v>10.5</v>
      </c>
      <c r="AF63" s="2" t="str">
        <f t="shared" si="34"/>
        <v>11</v>
      </c>
      <c r="AG63" s="2" t="str">
        <f t="shared" si="35"/>
        <v>0.1930083163</v>
      </c>
      <c r="AH63" s="2" t="str">
        <f t="shared" si="36"/>
        <v>0.8069916837</v>
      </c>
      <c r="AI63" s="2" t="str">
        <f>VLOOKUP(AE63,B56:U102,(X63/25000),FALSE)</f>
        <v>34.40364583</v>
      </c>
      <c r="AJ63" s="2" t="str">
        <f>VLOOKUP(AF63,B56:U102,(X63/25000),FALSE)</f>
        <v>34.30376611</v>
      </c>
      <c r="AK63" s="2" t="str">
        <f>VLOOKUP(AE63,B56:U102,(Y63/25000),FALSE)</f>
        <v>35.27340624</v>
      </c>
      <c r="AL63" s="2" t="str">
        <f>VLOOKUP(AF63,B56:U102,(Y63/25000),FALSE)</f>
        <v>34.53272218</v>
      </c>
      <c r="AM63" s="2" t="str">
        <f t="shared" si="37"/>
        <v>34.32304373</v>
      </c>
      <c r="AN63" s="2" t="str">
        <f t="shared" si="38"/>
        <v>34.67568036</v>
      </c>
      <c r="AO63" s="2" t="str">
        <f t="shared" si="39"/>
        <v>34.45743593</v>
      </c>
    </row>
    <row r="64" ht="12.75" customHeight="1">
      <c r="B64" s="5">
        <v>2.0</v>
      </c>
      <c r="C64" s="5">
        <v>1.0</v>
      </c>
      <c r="D64" s="5">
        <v>2.312539382</v>
      </c>
      <c r="E64" s="5">
        <v>5.936786655</v>
      </c>
      <c r="F64" s="5">
        <v>9.174776967</v>
      </c>
      <c r="G64" s="5">
        <v>12.00252612</v>
      </c>
      <c r="H64" s="5">
        <v>15.69499603</v>
      </c>
      <c r="I64" s="5">
        <v>23.27427598</v>
      </c>
      <c r="J64" s="5">
        <v>32.37565582</v>
      </c>
      <c r="K64" s="5">
        <v>46.9726776</v>
      </c>
      <c r="L64" s="5">
        <v>54.64036419</v>
      </c>
      <c r="M64" s="5">
        <v>64.21843003</v>
      </c>
      <c r="N64" s="5">
        <v>70.34583182</v>
      </c>
      <c r="O64" s="5">
        <v>77.34789392</v>
      </c>
      <c r="P64" s="5">
        <v>79.76612903</v>
      </c>
      <c r="Q64" s="5">
        <v>82.35392321</v>
      </c>
      <c r="R64" s="5">
        <v>86.1337967</v>
      </c>
      <c r="S64" s="5">
        <v>90.23550725</v>
      </c>
      <c r="T64" s="5">
        <v>93.6728972</v>
      </c>
      <c r="U64" s="5">
        <v>97.33590734</v>
      </c>
      <c r="W64" s="2" t="str">
        <f>IF('расчет'!R31&lt;50000,50000,'расчет'!R31)</f>
        <v>128573.0727</v>
      </c>
      <c r="X64" s="2" t="str">
        <f t="shared" si="28"/>
        <v>125000</v>
      </c>
      <c r="Y64" s="2" t="str">
        <f t="shared" si="29"/>
        <v>150000</v>
      </c>
      <c r="Z64" s="2" t="str">
        <f t="shared" si="30"/>
        <v>0.8570770934</v>
      </c>
      <c r="AA64" s="2" t="str">
        <f t="shared" si="31"/>
        <v>0.1429229066</v>
      </c>
      <c r="AB64" s="2" t="str">
        <f>'расчет'!P31</f>
        <v>11.24863784</v>
      </c>
      <c r="AC64" s="2" t="str">
        <f t="shared" ref="AC64:AD64" si="47">AC63</f>
        <v>-2</v>
      </c>
      <c r="AD64" s="2" t="str">
        <f t="shared" si="47"/>
        <v>21</v>
      </c>
      <c r="AE64" s="2" t="str">
        <f t="shared" si="33"/>
        <v>11</v>
      </c>
      <c r="AF64" s="2" t="str">
        <f t="shared" si="34"/>
        <v>11.5</v>
      </c>
      <c r="AG64" s="2" t="str">
        <f t="shared" si="35"/>
        <v>0.5027243149</v>
      </c>
      <c r="AH64" s="2" t="str">
        <f t="shared" si="36"/>
        <v>0.4972756851</v>
      </c>
      <c r="AI64" s="2" t="str">
        <f>VLOOKUP(AE64,B56:U102,(X64/25000),FALSE)</f>
        <v>34.30376611</v>
      </c>
      <c r="AJ64" s="2" t="str">
        <f>VLOOKUP(AF64,B56:U102,(X64/25000),FALSE)</f>
        <v>33.43830787</v>
      </c>
      <c r="AK64" s="2" t="str">
        <f>VLOOKUP(AE64,B56:U102,(Y64/25000),FALSE)</f>
        <v>34.53272218</v>
      </c>
      <c r="AL64" s="2" t="str">
        <f>VLOOKUP(AF64,B56:U102,(Y64/25000),FALSE)</f>
        <v>34.1051616</v>
      </c>
      <c r="AM64" s="2" t="str">
        <f t="shared" si="37"/>
        <v>33.87339477</v>
      </c>
      <c r="AN64" s="2" t="str">
        <f t="shared" si="38"/>
        <v>34.3201067</v>
      </c>
      <c r="AO64" s="2" t="str">
        <f t="shared" si="39"/>
        <v>33.93724014</v>
      </c>
    </row>
    <row r="65" ht="12.75" customHeight="1">
      <c r="B65" s="5">
        <v>2.5</v>
      </c>
      <c r="C65" s="5">
        <v>1.0</v>
      </c>
      <c r="D65" s="5">
        <v>3.750074882</v>
      </c>
      <c r="E65" s="5">
        <v>7.170837867</v>
      </c>
      <c r="F65" s="5">
        <v>10.28100309</v>
      </c>
      <c r="G65" s="5">
        <v>14.31831953</v>
      </c>
      <c r="H65" s="5">
        <v>20.07941176</v>
      </c>
      <c r="I65" s="5">
        <v>29.90321332</v>
      </c>
      <c r="J65" s="5">
        <v>40.56701031</v>
      </c>
      <c r="K65" s="5">
        <v>56.91394659</v>
      </c>
      <c r="L65" s="5">
        <v>62.4437299</v>
      </c>
      <c r="M65" s="5">
        <v>68.98245614</v>
      </c>
      <c r="N65" s="5">
        <v>75.06186727</v>
      </c>
      <c r="O65" s="5">
        <v>82.03703704</v>
      </c>
      <c r="P65" s="5">
        <v>86.47379455</v>
      </c>
      <c r="Q65" s="5">
        <v>91.29483815</v>
      </c>
      <c r="R65" s="5">
        <v>93.20771646</v>
      </c>
      <c r="S65" s="5">
        <v>95.22099448</v>
      </c>
      <c r="T65" s="5">
        <v>98.53206651</v>
      </c>
      <c r="U65" s="5">
        <v>102.060844</v>
      </c>
      <c r="W65" s="2" t="str">
        <f>IF('расчет'!R32&lt;50000,50000,'расчет'!R32)</f>
        <v>121825.3118</v>
      </c>
      <c r="X65" s="2" t="str">
        <f t="shared" si="28"/>
        <v>100000</v>
      </c>
      <c r="Y65" s="2" t="str">
        <f t="shared" si="29"/>
        <v>125000</v>
      </c>
      <c r="Z65" s="2" t="str">
        <f t="shared" si="30"/>
        <v>0.1269875283</v>
      </c>
      <c r="AA65" s="2" t="str">
        <f t="shared" si="31"/>
        <v>0.8730124717</v>
      </c>
      <c r="AB65" s="2" t="str">
        <f>'расчет'!P32</f>
        <v>11.66229685</v>
      </c>
      <c r="AC65" s="2" t="str">
        <f t="shared" ref="AC65:AD65" si="48">AC64</f>
        <v>-2</v>
      </c>
      <c r="AD65" s="2" t="str">
        <f t="shared" si="48"/>
        <v>21</v>
      </c>
      <c r="AE65" s="2" t="str">
        <f t="shared" si="33"/>
        <v>11.5</v>
      </c>
      <c r="AF65" s="2" t="str">
        <f t="shared" si="34"/>
        <v>12</v>
      </c>
      <c r="AG65" s="2" t="str">
        <f t="shared" si="35"/>
        <v>0.6754062992</v>
      </c>
      <c r="AH65" s="2" t="str">
        <f t="shared" si="36"/>
        <v>0.3245937008</v>
      </c>
      <c r="AI65" s="2" t="str">
        <f>VLOOKUP(AE65,B56:U102,(X65/25000),FALSE)</f>
        <v>32.52210433</v>
      </c>
      <c r="AJ65" s="2" t="str">
        <f>VLOOKUP(AF65,B56:U102,(X65/25000),FALSE)</f>
        <v>30.58321762</v>
      </c>
      <c r="AK65" s="2" t="str">
        <f>VLOOKUP(AE65,B56:U102,(Y65/25000),FALSE)</f>
        <v>33.43830787</v>
      </c>
      <c r="AL65" s="2" t="str">
        <f>VLOOKUP(AF65,B56:U102,(Y65/25000),FALSE)</f>
        <v>32.2831549</v>
      </c>
      <c r="AM65" s="2" t="str">
        <f t="shared" si="37"/>
        <v>31.89275392</v>
      </c>
      <c r="AN65" s="2" t="str">
        <f t="shared" si="38"/>
        <v>33.06335249</v>
      </c>
      <c r="AO65" s="2" t="str">
        <f t="shared" si="39"/>
        <v>32.91470107</v>
      </c>
    </row>
    <row r="66" ht="12.75" customHeight="1">
      <c r="B66" s="5">
        <v>3.0</v>
      </c>
      <c r="C66" s="5">
        <v>1.0</v>
      </c>
      <c r="D66" s="5">
        <v>4.596102005</v>
      </c>
      <c r="E66" s="5">
        <v>8.195044743</v>
      </c>
      <c r="F66" s="5">
        <v>11.42447953</v>
      </c>
      <c r="G66" s="5">
        <v>15.28891075</v>
      </c>
      <c r="H66" s="5">
        <v>26.29567549</v>
      </c>
      <c r="I66" s="5">
        <v>36.98364888</v>
      </c>
      <c r="J66" s="5">
        <v>46.39919253</v>
      </c>
      <c r="K66" s="5">
        <v>59.74984747</v>
      </c>
      <c r="L66" s="5">
        <v>68.17207901</v>
      </c>
      <c r="M66" s="5">
        <v>78.41246291</v>
      </c>
      <c r="N66" s="5">
        <v>82.63075722</v>
      </c>
      <c r="O66" s="5">
        <v>87.31466227</v>
      </c>
      <c r="P66" s="5">
        <v>91.77204301</v>
      </c>
      <c r="Q66" s="5">
        <v>96.64266427</v>
      </c>
      <c r="R66" s="5">
        <v>99.13785154</v>
      </c>
      <c r="S66" s="5">
        <v>101.758034</v>
      </c>
      <c r="T66" s="5">
        <v>103.8279362</v>
      </c>
      <c r="U66" s="5">
        <v>105.9940653</v>
      </c>
      <c r="W66" s="2" t="str">
        <f>IF('расчет'!R33&lt;50000,50000,'расчет'!R33)</f>
        <v>114215.2829</v>
      </c>
      <c r="X66" s="2" t="str">
        <f t="shared" si="28"/>
        <v>100000</v>
      </c>
      <c r="Y66" s="2" t="str">
        <f t="shared" si="29"/>
        <v>125000</v>
      </c>
      <c r="Z66" s="2" t="str">
        <f t="shared" si="30"/>
        <v>0.4313886844</v>
      </c>
      <c r="AA66" s="2" t="str">
        <f t="shared" si="31"/>
        <v>0.5686113156</v>
      </c>
      <c r="AB66" s="2" t="str">
        <f>'расчет'!P33</f>
        <v>12.20946957</v>
      </c>
      <c r="AC66" s="2" t="str">
        <f t="shared" ref="AC66:AD66" si="49">AC65</f>
        <v>-2</v>
      </c>
      <c r="AD66" s="2" t="str">
        <f t="shared" si="49"/>
        <v>21</v>
      </c>
      <c r="AE66" s="2" t="str">
        <f t="shared" si="33"/>
        <v>12</v>
      </c>
      <c r="AF66" s="2" t="str">
        <f t="shared" si="34"/>
        <v>12.5</v>
      </c>
      <c r="AG66" s="2" t="str">
        <f t="shared" si="35"/>
        <v>0.5810608514</v>
      </c>
      <c r="AH66" s="2" t="str">
        <f t="shared" si="36"/>
        <v>0.4189391486</v>
      </c>
      <c r="AI66" s="2" t="str">
        <f>VLOOKUP(AE66,B56:U102,(X66/25000),FALSE)</f>
        <v>30.58321762</v>
      </c>
      <c r="AJ66" s="2" t="str">
        <f>VLOOKUP(AF66,B56:U102,(X66/25000),FALSE)</f>
        <v>28.93888264</v>
      </c>
      <c r="AK66" s="2" t="str">
        <f>VLOOKUP(AE66,B56:U102,(Y66/25000),FALSE)</f>
        <v>32.2831549</v>
      </c>
      <c r="AL66" s="2" t="str">
        <f>VLOOKUP(AF66,B56:U102,(Y66/25000),FALSE)</f>
        <v>31.01008023</v>
      </c>
      <c r="AM66" s="2" t="str">
        <f t="shared" si="37"/>
        <v>29.89434132</v>
      </c>
      <c r="AN66" s="2" t="str">
        <f t="shared" si="38"/>
        <v>31.74981408</v>
      </c>
      <c r="AO66" s="2" t="str">
        <f t="shared" si="39"/>
        <v>30.94938413</v>
      </c>
    </row>
    <row r="67" ht="12.75" customHeight="1">
      <c r="B67" s="5">
        <v>3.5</v>
      </c>
      <c r="C67" s="5">
        <v>1.944235117</v>
      </c>
      <c r="D67" s="5">
        <v>5.632832858</v>
      </c>
      <c r="E67" s="5">
        <v>9.233692987</v>
      </c>
      <c r="F67" s="5">
        <v>12.60712002</v>
      </c>
      <c r="G67" s="5">
        <v>18.89480692</v>
      </c>
      <c r="H67" s="5">
        <v>27.9979623</v>
      </c>
      <c r="I67" s="5">
        <v>44.01593252</v>
      </c>
      <c r="J67" s="5">
        <v>54.46930423</v>
      </c>
      <c r="K67" s="5">
        <v>69.03984324</v>
      </c>
      <c r="L67" s="5">
        <v>74.89503149</v>
      </c>
      <c r="M67" s="5">
        <v>81.65033911</v>
      </c>
      <c r="N67" s="5">
        <v>87.10023866</v>
      </c>
      <c r="O67" s="5">
        <v>93.19292334</v>
      </c>
      <c r="P67" s="5">
        <v>96.69291339</v>
      </c>
      <c r="Q67" s="5">
        <v>100.4731574</v>
      </c>
      <c r="R67" s="5">
        <v>103.5316159</v>
      </c>
      <c r="S67" s="5">
        <v>106.7760618</v>
      </c>
      <c r="T67" s="5">
        <v>108.3178028</v>
      </c>
      <c r="U67" s="5">
        <v>109.9102692</v>
      </c>
      <c r="W67" s="2" t="str">
        <f>IF('расчет'!R34&lt;50000,50000,'расчет'!R34)</f>
        <v>105683.6102</v>
      </c>
      <c r="X67" s="2" t="str">
        <f t="shared" si="28"/>
        <v>100000</v>
      </c>
      <c r="Y67" s="2" t="str">
        <f t="shared" si="29"/>
        <v>125000</v>
      </c>
      <c r="Z67" s="2" t="str">
        <f t="shared" si="30"/>
        <v>0.7726555915</v>
      </c>
      <c r="AA67" s="2" t="str">
        <f t="shared" si="31"/>
        <v>0.2273444085</v>
      </c>
      <c r="AB67" s="2" t="str">
        <f>'расчет'!P34</f>
        <v>12.98450331</v>
      </c>
      <c r="AC67" s="2" t="str">
        <f t="shared" ref="AC67:AD67" si="50">AC66</f>
        <v>-2</v>
      </c>
      <c r="AD67" s="2" t="str">
        <f t="shared" si="50"/>
        <v>21</v>
      </c>
      <c r="AE67" s="2" t="str">
        <f t="shared" si="33"/>
        <v>12.5</v>
      </c>
      <c r="AF67" s="2" t="str">
        <f t="shared" si="34"/>
        <v>13</v>
      </c>
      <c r="AG67" s="2" t="str">
        <f t="shared" si="35"/>
        <v>0.03099337527</v>
      </c>
      <c r="AH67" s="2" t="str">
        <f t="shared" si="36"/>
        <v>0.9690066247</v>
      </c>
      <c r="AI67" s="2" t="str">
        <f>VLOOKUP(AE67,B56:U102,(X67/25000),FALSE)</f>
        <v>28.93888264</v>
      </c>
      <c r="AJ67" s="2" t="str">
        <f>VLOOKUP(AF67,B56:U102,(X67/25000),FALSE)</f>
        <v>26.19690484</v>
      </c>
      <c r="AK67" s="2" t="str">
        <f>VLOOKUP(AE67,B56:U102,(Y67/25000),FALSE)</f>
        <v>31.01008023</v>
      </c>
      <c r="AL67" s="2" t="str">
        <f>VLOOKUP(AF67,B56:U102,(Y67/25000),FALSE)</f>
        <v>28.92400301</v>
      </c>
      <c r="AM67" s="2" t="str">
        <f t="shared" si="37"/>
        <v>26.28188799</v>
      </c>
      <c r="AN67" s="2" t="str">
        <f t="shared" si="38"/>
        <v>28.98865758</v>
      </c>
      <c r="AO67" s="2" t="str">
        <f t="shared" si="39"/>
        <v>26.89725692</v>
      </c>
    </row>
    <row r="68" ht="12.75" customHeight="1">
      <c r="B68" s="5">
        <v>4.0</v>
      </c>
      <c r="C68" s="5">
        <v>3.600131212</v>
      </c>
      <c r="D68" s="5">
        <v>6.740605428</v>
      </c>
      <c r="E68" s="5">
        <v>10.2870902</v>
      </c>
      <c r="F68" s="5">
        <v>15.71754506</v>
      </c>
      <c r="G68" s="5">
        <v>24.2526003</v>
      </c>
      <c r="H68" s="5">
        <v>33.00220345</v>
      </c>
      <c r="I68" s="5">
        <v>47.15040846</v>
      </c>
      <c r="J68" s="5">
        <v>58.73417722</v>
      </c>
      <c r="K68" s="5">
        <v>75.08819539</v>
      </c>
      <c r="L68" s="5">
        <v>80.7135096</v>
      </c>
      <c r="M68" s="5">
        <v>87.15617716</v>
      </c>
      <c r="N68" s="5">
        <v>91.66261152</v>
      </c>
      <c r="O68" s="5">
        <v>96.58184902</v>
      </c>
      <c r="P68" s="5">
        <v>99.78070175</v>
      </c>
      <c r="Q68" s="5">
        <v>103.2061762</v>
      </c>
      <c r="R68" s="5">
        <v>105.7615277</v>
      </c>
      <c r="S68" s="5">
        <v>108.4512428</v>
      </c>
      <c r="T68" s="5">
        <v>110.3606238</v>
      </c>
      <c r="U68" s="5">
        <v>112.3459245</v>
      </c>
      <c r="W68" s="2" t="str">
        <f>IF('расчет'!R35&lt;50000,50000,'расчет'!R35)</f>
        <v>96182.02339</v>
      </c>
      <c r="X68" s="2" t="str">
        <f t="shared" si="28"/>
        <v>75000</v>
      </c>
      <c r="Y68" s="2" t="str">
        <f t="shared" si="29"/>
        <v>100000</v>
      </c>
      <c r="Z68" s="2" t="str">
        <f t="shared" si="30"/>
        <v>0.1527190645</v>
      </c>
      <c r="AA68" s="2" t="str">
        <f t="shared" si="31"/>
        <v>0.8472809355</v>
      </c>
      <c r="AB68" s="2" t="str">
        <f>'расчет'!P35</f>
        <v>14.12833628</v>
      </c>
      <c r="AC68" s="2" t="str">
        <f t="shared" ref="AC68:AD68" si="51">AC67</f>
        <v>-2</v>
      </c>
      <c r="AD68" s="2" t="str">
        <f t="shared" si="51"/>
        <v>21</v>
      </c>
      <c r="AE68" s="2" t="str">
        <f t="shared" si="33"/>
        <v>14</v>
      </c>
      <c r="AF68" s="2" t="str">
        <f t="shared" si="34"/>
        <v>14.5</v>
      </c>
      <c r="AG68" s="2" t="str">
        <f t="shared" si="35"/>
        <v>0.7433274325</v>
      </c>
      <c r="AH68" s="2" t="str">
        <f t="shared" si="36"/>
        <v>0.2566725675</v>
      </c>
      <c r="AI68" s="2" t="str">
        <f>VLOOKUP(AE68,B56:U102,(X68/25000),FALSE)</f>
        <v>18.98046092</v>
      </c>
      <c r="AJ68" s="2" t="str">
        <f>VLOOKUP(AF68,B56:U102,(X68/25000),FALSE)</f>
        <v>16.60165552</v>
      </c>
      <c r="AK68" s="2" t="str">
        <f>VLOOKUP(AE68,B56:U102,(Y68/25000),FALSE)</f>
        <v>22.29803808</v>
      </c>
      <c r="AL68" s="2" t="str">
        <f>VLOOKUP(AF68,B56:U102,(Y68/25000),FALSE)</f>
        <v>20.23166534</v>
      </c>
      <c r="AM68" s="2" t="str">
        <f t="shared" si="37"/>
        <v>18.36988683</v>
      </c>
      <c r="AN68" s="2" t="str">
        <f t="shared" si="38"/>
        <v>21.76765688</v>
      </c>
      <c r="AO68" s="2" t="str">
        <f t="shared" si="39"/>
        <v>21.24875262</v>
      </c>
    </row>
    <row r="69" ht="12.75" customHeight="1">
      <c r="B69" s="5">
        <v>4.5</v>
      </c>
      <c r="C69" s="5">
        <v>4.659742676</v>
      </c>
      <c r="D69" s="5">
        <v>6.24866351</v>
      </c>
      <c r="E69" s="5">
        <v>11.17452135</v>
      </c>
      <c r="F69" s="5">
        <v>17.42957746</v>
      </c>
      <c r="G69" s="5">
        <v>27.62173164</v>
      </c>
      <c r="H69" s="5">
        <v>41.95523649</v>
      </c>
      <c r="I69" s="5">
        <v>61.61254199</v>
      </c>
      <c r="J69" s="5">
        <v>69.22150139</v>
      </c>
      <c r="K69" s="5">
        <v>78.58718125</v>
      </c>
      <c r="L69" s="5">
        <v>84.26422018</v>
      </c>
      <c r="M69" s="5">
        <v>90.7299843</v>
      </c>
      <c r="N69" s="5">
        <v>94.79362485</v>
      </c>
      <c r="O69" s="5">
        <v>99.20716113</v>
      </c>
      <c r="P69" s="5">
        <v>101.8730853</v>
      </c>
      <c r="Q69" s="5">
        <v>104.6852518</v>
      </c>
      <c r="R69" s="5">
        <v>106.5794307</v>
      </c>
      <c r="S69" s="5">
        <v>108.5553471</v>
      </c>
      <c r="T69" s="5">
        <v>110.0428776</v>
      </c>
      <c r="U69" s="5">
        <v>111.5779284</v>
      </c>
      <c r="W69" s="2" t="str">
        <f>IF('расчет'!R36&lt;50000,50000,'расчет'!R36)</f>
        <v>85674.39578</v>
      </c>
      <c r="X69" s="2" t="str">
        <f t="shared" si="28"/>
        <v>75000</v>
      </c>
      <c r="Y69" s="2" t="str">
        <f t="shared" si="29"/>
        <v>100000</v>
      </c>
      <c r="Z69" s="2" t="str">
        <f t="shared" si="30"/>
        <v>0.5730241689</v>
      </c>
      <c r="AA69" s="2" t="str">
        <f t="shared" si="31"/>
        <v>0.4269758311</v>
      </c>
      <c r="AB69" s="2" t="str">
        <f>'расчет'!P36</f>
        <v>15.85841006</v>
      </c>
      <c r="AC69" s="2" t="str">
        <f t="shared" ref="AC69:AD69" si="52">AC68</f>
        <v>-2</v>
      </c>
      <c r="AD69" s="2" t="str">
        <f t="shared" si="52"/>
        <v>21</v>
      </c>
      <c r="AE69" s="2" t="str">
        <f t="shared" si="33"/>
        <v>15.5</v>
      </c>
      <c r="AF69" s="2" t="str">
        <f t="shared" si="34"/>
        <v>16</v>
      </c>
      <c r="AG69" s="2" t="str">
        <f t="shared" si="35"/>
        <v>0.2831798876</v>
      </c>
      <c r="AH69" s="2" t="str">
        <f t="shared" si="36"/>
        <v>0.7168201124</v>
      </c>
      <c r="AI69" s="2" t="str">
        <f>VLOOKUP(AE69,B56:U102,(X69/25000),FALSE)</f>
        <v>11.83465056</v>
      </c>
      <c r="AJ69" s="2" t="str">
        <f>VLOOKUP(AF69,B56:U102,(X69/25000),FALSE)</f>
        <v>9.79402916</v>
      </c>
      <c r="AK69" s="2" t="str">
        <f>VLOOKUP(AE69,B56:U102,(Y69/25000),FALSE)</f>
        <v>15.86868038</v>
      </c>
      <c r="AL69" s="2" t="str">
        <f>VLOOKUP(AF69,B56:U102,(Y69/25000),FALSE)</f>
        <v>13.79113434</v>
      </c>
      <c r="AM69" s="2" t="str">
        <f t="shared" si="37"/>
        <v>10.3718921</v>
      </c>
      <c r="AN69" s="2" t="str">
        <f t="shared" si="38"/>
        <v>14.37945359</v>
      </c>
      <c r="AO69" s="2" t="str">
        <f t="shared" si="39"/>
        <v>12.083024</v>
      </c>
    </row>
    <row r="70" ht="12.75" customHeight="1">
      <c r="B70" s="5">
        <v>5.0</v>
      </c>
      <c r="C70" s="5">
        <v>5.365980531</v>
      </c>
      <c r="D70" s="5">
        <v>7.106451143</v>
      </c>
      <c r="E70" s="5">
        <v>13.03334596</v>
      </c>
      <c r="F70" s="5">
        <v>21.58536585</v>
      </c>
      <c r="G70" s="5">
        <v>31.37326274</v>
      </c>
      <c r="H70" s="5">
        <v>45.67164179</v>
      </c>
      <c r="I70" s="5">
        <v>65.87044534</v>
      </c>
      <c r="J70" s="5">
        <v>73.9317602</v>
      </c>
      <c r="K70" s="5">
        <v>83.83795309</v>
      </c>
      <c r="L70" s="5">
        <v>88.40179238</v>
      </c>
      <c r="M70" s="5">
        <v>93.45397325</v>
      </c>
      <c r="N70" s="5">
        <v>96.64631665</v>
      </c>
      <c r="O70" s="5">
        <v>100.0674536</v>
      </c>
      <c r="P70" s="5">
        <v>101.7689996</v>
      </c>
      <c r="Q70" s="5">
        <v>103.5345582</v>
      </c>
      <c r="R70" s="5">
        <v>104.8556197</v>
      </c>
      <c r="S70" s="5">
        <v>106.2184116</v>
      </c>
      <c r="T70" s="5">
        <v>106.9781222</v>
      </c>
      <c r="U70" s="5">
        <v>107.7532228</v>
      </c>
      <c r="W70" s="2" t="str">
        <f>IF('расчет'!R37&lt;50000,50000,'расчет'!R37)</f>
        <v>74137.3012</v>
      </c>
      <c r="X70" s="2" t="str">
        <f t="shared" si="28"/>
        <v>50000</v>
      </c>
      <c r="Y70" s="2" t="str">
        <f t="shared" si="29"/>
        <v>75000</v>
      </c>
      <c r="Z70" s="2" t="str">
        <f t="shared" si="30"/>
        <v>0.03450795217</v>
      </c>
      <c r="AA70" s="2" t="str">
        <f t="shared" si="31"/>
        <v>0.9654920478</v>
      </c>
      <c r="AB70" s="2" t="str">
        <f>'расчет'!P37</f>
        <v>18.5217332</v>
      </c>
      <c r="AC70" s="2" t="str">
        <f t="shared" ref="AC70:AD70" si="53">AC69</f>
        <v>-2</v>
      </c>
      <c r="AD70" s="2" t="str">
        <f t="shared" si="53"/>
        <v>21</v>
      </c>
      <c r="AE70" s="2" t="str">
        <f t="shared" si="33"/>
        <v>18.5</v>
      </c>
      <c r="AF70" s="2" t="str">
        <f t="shared" si="34"/>
        <v>19</v>
      </c>
      <c r="AG70" s="2" t="str">
        <f t="shared" si="35"/>
        <v>0.9565335919</v>
      </c>
      <c r="AH70" s="2" t="str">
        <f t="shared" si="36"/>
        <v>0.0434664081</v>
      </c>
      <c r="AI70" s="2" t="str">
        <f>VLOOKUP(AE70,B56:U102,(X70/25000),FALSE)</f>
        <v>4.674975458</v>
      </c>
      <c r="AJ70" s="2" t="str">
        <f>VLOOKUP(AF70,B56:U102,(X70/25000),FALSE)</f>
        <v>4.576699108</v>
      </c>
      <c r="AK70" s="2" t="str">
        <f>VLOOKUP(AE70,B56:U102,(Y70/25000),FALSE)</f>
        <v>4.93983477</v>
      </c>
      <c r="AL70" s="2" t="str">
        <f>VLOOKUP(AF70,B56:U102,(Y70/25000),FALSE)</f>
        <v>4.774460667</v>
      </c>
      <c r="AM70" s="2" t="str">
        <f t="shared" si="37"/>
        <v>4.670703738</v>
      </c>
      <c r="AN70" s="2" t="str">
        <f t="shared" si="38"/>
        <v>4.932646552</v>
      </c>
      <c r="AO70" s="2" t="str">
        <f t="shared" si="39"/>
        <v>4.923607442</v>
      </c>
    </row>
    <row r="71" ht="12.75" customHeight="1">
      <c r="B71" s="5">
        <v>5.5</v>
      </c>
      <c r="C71" s="5">
        <v>6.016271767</v>
      </c>
      <c r="D71" s="5">
        <v>8.277994552</v>
      </c>
      <c r="E71" s="5">
        <v>16.50265414</v>
      </c>
      <c r="F71" s="5">
        <v>23.04838917</v>
      </c>
      <c r="G71" s="5">
        <v>42.79809221</v>
      </c>
      <c r="H71" s="5">
        <v>53.14628297</v>
      </c>
      <c r="I71" s="5">
        <v>72.58084198</v>
      </c>
      <c r="J71" s="5">
        <v>78.62770847</v>
      </c>
      <c r="K71" s="5">
        <v>85.67164179</v>
      </c>
      <c r="L71" s="5">
        <v>89.35209182</v>
      </c>
      <c r="M71" s="5">
        <v>93.35394127</v>
      </c>
      <c r="N71" s="5">
        <v>95.71768438</v>
      </c>
      <c r="O71" s="5">
        <v>98.20846906</v>
      </c>
      <c r="P71" s="5">
        <v>99.00741351</v>
      </c>
      <c r="Q71" s="5">
        <v>99.825</v>
      </c>
      <c r="R71" s="5">
        <v>100.0629195</v>
      </c>
      <c r="S71" s="5">
        <v>100.3040541</v>
      </c>
      <c r="T71" s="5">
        <v>100.1186944</v>
      </c>
      <c r="U71" s="5">
        <v>99.93191489</v>
      </c>
      <c r="W71" s="2" t="str">
        <f>IF('расчет'!R38&lt;50000,50000,'расчет'!R38)</f>
        <v>61560.12526</v>
      </c>
      <c r="X71" s="2" t="str">
        <f t="shared" si="28"/>
        <v>50000</v>
      </c>
      <c r="Y71" s="2" t="str">
        <f t="shared" si="29"/>
        <v>75000</v>
      </c>
      <c r="Z71" s="2" t="str">
        <f t="shared" si="30"/>
        <v>0.5375949897</v>
      </c>
      <c r="AA71" s="2" t="str">
        <f t="shared" si="31"/>
        <v>0.4624050103</v>
      </c>
      <c r="AB71" s="2" t="str">
        <f>'расчет'!P38</f>
        <v>22.68814529</v>
      </c>
      <c r="AC71" s="2" t="str">
        <f t="shared" ref="AC71:AD71" si="54">AC70</f>
        <v>-2</v>
      </c>
      <c r="AD71" s="2" t="str">
        <f t="shared" si="54"/>
        <v>21</v>
      </c>
      <c r="AE71" s="2" t="str">
        <f t="shared" si="33"/>
        <v>22.5</v>
      </c>
      <c r="AF71" s="2" t="str">
        <f t="shared" si="34"/>
        <v>23</v>
      </c>
      <c r="AG71" s="2" t="str">
        <f t="shared" si="35"/>
        <v>0.6237094224</v>
      </c>
      <c r="AH71" s="2" t="str">
        <f t="shared" si="36"/>
        <v>0.3762905776</v>
      </c>
      <c r="AI71" s="1" t="str">
        <f>VLOOKUP(AE71,B56:U102,(X71/25000),FALSE)</f>
        <v>#N/A</v>
      </c>
      <c r="AJ71" s="1" t="str">
        <f>VLOOKUP(AF71,B56:U102,(X71/25000),FALSE)</f>
        <v>#N/A</v>
      </c>
      <c r="AK71" s="1" t="str">
        <f>VLOOKUP(AE71,B56:U102,(Y71/25000),FALSE)</f>
        <v>#N/A</v>
      </c>
      <c r="AL71" s="1" t="str">
        <f>VLOOKUP(AF71,B56:U102,(Y71/25000),FALSE)</f>
        <v>#N/A</v>
      </c>
      <c r="AM71" s="2" t="str">
        <f t="shared" si="37"/>
        <v>#N/A</v>
      </c>
      <c r="AN71" s="2" t="str">
        <f t="shared" si="38"/>
        <v>#N/A</v>
      </c>
      <c r="AO71" s="2" t="str">
        <f t="shared" si="39"/>
        <v>#N/A</v>
      </c>
    </row>
    <row r="72" ht="12.75" customHeight="1">
      <c r="B72" s="5">
        <v>6.0</v>
      </c>
      <c r="C72" s="5">
        <v>6.486781139</v>
      </c>
      <c r="D72" s="5">
        <v>9.475878499</v>
      </c>
      <c r="E72" s="5">
        <v>17.860235</v>
      </c>
      <c r="F72" s="5">
        <v>24.54215305</v>
      </c>
      <c r="G72" s="5">
        <v>49.27674318</v>
      </c>
      <c r="H72" s="5">
        <v>62.36382866</v>
      </c>
      <c r="I72" s="5">
        <v>73.74162096</v>
      </c>
      <c r="J72" s="5">
        <v>79.72540046</v>
      </c>
      <c r="K72" s="5">
        <v>86.65021157</v>
      </c>
      <c r="L72" s="5">
        <v>88.73371925</v>
      </c>
      <c r="M72" s="5">
        <v>90.92867756</v>
      </c>
      <c r="N72" s="5">
        <v>91.0</v>
      </c>
      <c r="O72" s="5">
        <v>91.07250755</v>
      </c>
      <c r="P72" s="5">
        <v>89.56831832</v>
      </c>
      <c r="Q72" s="5">
        <v>88.08208955</v>
      </c>
      <c r="R72" s="5">
        <v>85.80609622</v>
      </c>
      <c r="S72" s="5">
        <v>83.60086768</v>
      </c>
      <c r="T72" s="5">
        <v>81.43974405</v>
      </c>
      <c r="U72" s="5">
        <v>79.34965035</v>
      </c>
    </row>
    <row r="73" ht="12.75" customHeight="1">
      <c r="B73" s="5">
        <v>6.5</v>
      </c>
      <c r="C73" s="5">
        <v>6.931789259</v>
      </c>
      <c r="D73" s="5">
        <v>13.20077595</v>
      </c>
      <c r="E73" s="5">
        <v>19.60076046</v>
      </c>
      <c r="F73" s="5">
        <v>33.16899225</v>
      </c>
      <c r="G73" s="5">
        <v>56.19698398</v>
      </c>
      <c r="H73" s="5">
        <v>68.29336308</v>
      </c>
      <c r="I73" s="5">
        <v>78.22792736</v>
      </c>
      <c r="J73" s="5">
        <v>79.96453901</v>
      </c>
      <c r="K73" s="5">
        <v>81.80730897</v>
      </c>
      <c r="L73" s="5">
        <v>80.00659413</v>
      </c>
      <c r="M73" s="5">
        <v>78.23298429</v>
      </c>
      <c r="N73" s="5">
        <v>75.4208</v>
      </c>
      <c r="O73" s="5">
        <v>72.73011897</v>
      </c>
      <c r="P73" s="5">
        <v>70.03664122</v>
      </c>
      <c r="Q73" s="5">
        <v>67.47318236</v>
      </c>
      <c r="R73" s="5">
        <v>64.33506045</v>
      </c>
      <c r="S73" s="5">
        <v>61.40311804</v>
      </c>
      <c r="T73" s="5">
        <v>60.26670333</v>
      </c>
      <c r="U73" s="5">
        <v>59.15806627</v>
      </c>
    </row>
    <row r="74" ht="12.75" customHeight="1">
      <c r="B74" s="5">
        <v>7.0</v>
      </c>
      <c r="C74" s="5">
        <v>7.255192878</v>
      </c>
      <c r="D74" s="5">
        <v>13.9467273</v>
      </c>
      <c r="E74" s="5">
        <v>24.4195591</v>
      </c>
      <c r="F74" s="5">
        <v>51.61535217</v>
      </c>
      <c r="G74" s="5">
        <v>69.73898858</v>
      </c>
      <c r="H74" s="5">
        <v>72.55416192</v>
      </c>
      <c r="I74" s="5">
        <v>69.41471572</v>
      </c>
      <c r="J74" s="5">
        <v>67.3592233</v>
      </c>
      <c r="K74" s="5">
        <v>65.32302595</v>
      </c>
      <c r="L74" s="5">
        <v>61.93918378</v>
      </c>
      <c r="M74" s="5">
        <v>58.77708978</v>
      </c>
      <c r="N74" s="5">
        <v>56.5770294</v>
      </c>
      <c r="O74" s="5">
        <v>54.48799608</v>
      </c>
      <c r="P74" s="5">
        <v>54.33610975</v>
      </c>
      <c r="Q74" s="5">
        <v>54.18422342</v>
      </c>
      <c r="R74" s="5">
        <v>54.43623831</v>
      </c>
      <c r="S74" s="5">
        <v>54.69074715</v>
      </c>
      <c r="T74" s="5">
        <v>55.25081108</v>
      </c>
      <c r="U74" s="5">
        <v>55.82074522</v>
      </c>
    </row>
    <row r="75" ht="12.75" customHeight="1">
      <c r="B75" s="5">
        <v>7.5</v>
      </c>
      <c r="C75" s="5">
        <v>7.484604453</v>
      </c>
      <c r="D75" s="5">
        <v>16.16583862</v>
      </c>
      <c r="E75" s="5">
        <v>27.54361914</v>
      </c>
      <c r="F75" s="5">
        <v>57.91037952</v>
      </c>
      <c r="G75" s="5">
        <v>59.48169282</v>
      </c>
      <c r="H75" s="5">
        <v>54.9886929</v>
      </c>
      <c r="I75" s="5">
        <v>51.83833116</v>
      </c>
      <c r="J75" s="5">
        <v>50.91147541</v>
      </c>
      <c r="K75" s="5">
        <v>49.97361478</v>
      </c>
      <c r="L75" s="5">
        <v>49.79744606</v>
      </c>
      <c r="M75" s="5">
        <v>49.62081129</v>
      </c>
      <c r="N75" s="5">
        <v>50.11130899</v>
      </c>
      <c r="O75" s="5">
        <v>50.61151079</v>
      </c>
      <c r="P75" s="5">
        <v>51.12068966</v>
      </c>
      <c r="Q75" s="5">
        <v>51.63919414</v>
      </c>
      <c r="R75" s="5">
        <v>52.36329935</v>
      </c>
      <c r="S75" s="5">
        <v>53.10506567</v>
      </c>
      <c r="T75" s="5">
        <v>53.58392435</v>
      </c>
      <c r="U75" s="5">
        <v>54.07054337</v>
      </c>
    </row>
    <row r="76" ht="12.75" customHeight="1">
      <c r="B76" s="5">
        <v>8.0</v>
      </c>
      <c r="C76" s="5">
        <v>7.8004561</v>
      </c>
      <c r="D76" s="5">
        <v>16.74810886</v>
      </c>
      <c r="E76" s="5">
        <v>45.4815086</v>
      </c>
      <c r="F76" s="5">
        <v>48.5984998</v>
      </c>
      <c r="G76" s="5">
        <v>46.27541235</v>
      </c>
      <c r="H76" s="5">
        <v>46.02303263</v>
      </c>
      <c r="I76" s="5">
        <v>46.35694928</v>
      </c>
      <c r="J76" s="5">
        <v>46.72139206</v>
      </c>
      <c r="K76" s="5">
        <v>47.09748302</v>
      </c>
      <c r="L76" s="5">
        <v>47.18274112</v>
      </c>
      <c r="M76" s="5">
        <v>47.27085054</v>
      </c>
      <c r="N76" s="5">
        <v>47.85013567</v>
      </c>
      <c r="O76" s="5">
        <v>48.44238075</v>
      </c>
      <c r="P76" s="5">
        <v>49.24031671</v>
      </c>
      <c r="Q76" s="5">
        <v>50.06076389</v>
      </c>
      <c r="R76" s="5">
        <v>50.5273523</v>
      </c>
      <c r="S76" s="5">
        <v>51.00176523</v>
      </c>
      <c r="T76" s="5">
        <v>51.45875028</v>
      </c>
      <c r="U76" s="5">
        <v>51.92290453</v>
      </c>
    </row>
    <row r="77" ht="12.75" customHeight="1">
      <c r="B77" s="5">
        <v>8.5</v>
      </c>
      <c r="C77" s="5">
        <v>12.85232637</v>
      </c>
      <c r="D77" s="5">
        <v>20.85733487</v>
      </c>
      <c r="E77" s="5">
        <v>40.63645452</v>
      </c>
      <c r="F77" s="5">
        <v>40.86003373</v>
      </c>
      <c r="G77" s="5">
        <v>41.62366701</v>
      </c>
      <c r="H77" s="5">
        <v>42.45706274</v>
      </c>
      <c r="I77" s="5">
        <v>42.83339229</v>
      </c>
      <c r="J77" s="5">
        <v>43.75247347</v>
      </c>
      <c r="K77" s="5">
        <v>44.70351391</v>
      </c>
      <c r="L77" s="5">
        <v>45.28499346</v>
      </c>
      <c r="M77" s="5">
        <v>45.89156166</v>
      </c>
      <c r="N77" s="5">
        <v>47.3178744</v>
      </c>
      <c r="O77" s="5">
        <v>48.77934272</v>
      </c>
      <c r="P77" s="5">
        <v>49.29022082</v>
      </c>
      <c r="Q77" s="5">
        <v>49.80922099</v>
      </c>
      <c r="R77" s="5">
        <v>50.2360689</v>
      </c>
      <c r="S77" s="5">
        <v>50.68003307</v>
      </c>
      <c r="T77" s="5">
        <v>51.29069282</v>
      </c>
      <c r="U77" s="5">
        <v>51.91319005</v>
      </c>
    </row>
    <row r="78" ht="12.75" customHeight="1">
      <c r="B78" s="5">
        <v>9.0</v>
      </c>
      <c r="C78" s="5">
        <v>16.11874906</v>
      </c>
      <c r="D78" s="5">
        <v>34.15280519</v>
      </c>
      <c r="E78" s="5">
        <v>35.59013506</v>
      </c>
      <c r="F78" s="5">
        <v>37.71675409</v>
      </c>
      <c r="G78" s="5">
        <v>38.8395688</v>
      </c>
      <c r="H78" s="5">
        <v>39.44319279</v>
      </c>
      <c r="I78" s="5">
        <v>40.82064858</v>
      </c>
      <c r="J78" s="5">
        <v>41.65265636</v>
      </c>
      <c r="K78" s="5">
        <v>42.51196172</v>
      </c>
      <c r="L78" s="5">
        <v>43.58760014</v>
      </c>
      <c r="M78" s="5">
        <v>44.70525568</v>
      </c>
      <c r="N78" s="5">
        <v>45.18525148</v>
      </c>
      <c r="O78" s="5">
        <v>45.67304222</v>
      </c>
      <c r="P78" s="5">
        <v>46.95099484</v>
      </c>
      <c r="Q78" s="5">
        <v>48.2837787</v>
      </c>
      <c r="R78" s="5">
        <v>49.32300631</v>
      </c>
      <c r="S78" s="5">
        <v>50.39657854</v>
      </c>
      <c r="T78" s="5">
        <v>51.14212699</v>
      </c>
      <c r="U78" s="5">
        <v>51.90457256</v>
      </c>
    </row>
    <row r="79" ht="12.75" customHeight="1">
      <c r="B79" s="5">
        <v>9.5</v>
      </c>
      <c r="C79" s="5">
        <v>25.01060221</v>
      </c>
      <c r="D79" s="5">
        <v>30.52498738</v>
      </c>
      <c r="E79" s="5">
        <v>33.99780038</v>
      </c>
      <c r="F79" s="5">
        <v>35.74015522</v>
      </c>
      <c r="G79" s="5">
        <v>36.65391407</v>
      </c>
      <c r="H79" s="5">
        <v>37.93511219</v>
      </c>
      <c r="I79" s="5">
        <v>38.46531614</v>
      </c>
      <c r="J79" s="5">
        <v>39.61363279</v>
      </c>
      <c r="K79" s="5">
        <v>40.81698295</v>
      </c>
      <c r="L79" s="5">
        <v>41.25162127</v>
      </c>
      <c r="M79" s="5">
        <v>41.69336384</v>
      </c>
      <c r="N79" s="5">
        <v>42.95720495</v>
      </c>
      <c r="O79" s="5">
        <v>44.27984947</v>
      </c>
      <c r="P79" s="5">
        <v>45.31766754</v>
      </c>
      <c r="Q79" s="5">
        <v>46.39262934</v>
      </c>
      <c r="R79" s="5">
        <v>47.0937108</v>
      </c>
      <c r="S79" s="5">
        <v>47.81080101</v>
      </c>
      <c r="T79" s="5">
        <v>47.98328488</v>
      </c>
      <c r="U79" s="5">
        <v>48.15664845</v>
      </c>
    </row>
    <row r="80" ht="12.75" customHeight="1">
      <c r="B80" s="5">
        <v>10.0</v>
      </c>
      <c r="C80" s="5">
        <v>27.09493532</v>
      </c>
      <c r="D80" s="5">
        <v>31.03312883</v>
      </c>
      <c r="E80" s="5">
        <v>33.70759926</v>
      </c>
      <c r="F80" s="5">
        <v>34.79160992</v>
      </c>
      <c r="G80" s="5">
        <v>35.767507</v>
      </c>
      <c r="H80" s="5">
        <v>36.47008547</v>
      </c>
      <c r="I80" s="5">
        <v>37.36228505</v>
      </c>
      <c r="J80" s="5">
        <v>38.04466795</v>
      </c>
      <c r="K80" s="5">
        <v>38.74774775</v>
      </c>
      <c r="L80" s="5">
        <v>39.63641919</v>
      </c>
      <c r="M80" s="5">
        <v>40.55659204</v>
      </c>
      <c r="N80" s="5">
        <v>41.54345417</v>
      </c>
      <c r="O80" s="5">
        <v>42.5669139</v>
      </c>
      <c r="P80" s="5">
        <v>43.21050057</v>
      </c>
      <c r="Q80" s="5">
        <v>43.86873351</v>
      </c>
      <c r="R80" s="5">
        <v>44.25560166</v>
      </c>
      <c r="S80" s="5">
        <v>44.64751086</v>
      </c>
      <c r="T80" s="5">
        <v>45.80211172</v>
      </c>
      <c r="U80" s="5">
        <v>47.0024314</v>
      </c>
    </row>
    <row r="81" ht="12.75" customHeight="1">
      <c r="B81" s="5">
        <v>10.5</v>
      </c>
      <c r="C81" s="5">
        <v>28.28815368</v>
      </c>
      <c r="D81" s="5">
        <v>32.18936322</v>
      </c>
      <c r="E81" s="5">
        <v>33.55326114</v>
      </c>
      <c r="F81" s="5">
        <v>34.40364583</v>
      </c>
      <c r="G81" s="5">
        <v>35.27340624</v>
      </c>
      <c r="H81" s="5">
        <v>35.68552775</v>
      </c>
      <c r="I81" s="5">
        <v>36.22338955</v>
      </c>
      <c r="J81" s="5">
        <v>36.87429854</v>
      </c>
      <c r="K81" s="5">
        <v>37.54485901</v>
      </c>
      <c r="L81" s="5">
        <v>38.34950051</v>
      </c>
      <c r="M81" s="5">
        <v>39.18138987</v>
      </c>
      <c r="N81" s="5">
        <v>39.73813421</v>
      </c>
      <c r="O81" s="5">
        <v>40.30676692</v>
      </c>
      <c r="P81" s="5">
        <v>40.93854579</v>
      </c>
      <c r="Q81" s="5">
        <v>41.58510311</v>
      </c>
      <c r="R81" s="5">
        <v>42.58969137</v>
      </c>
      <c r="S81" s="5">
        <v>43.63114231</v>
      </c>
      <c r="T81" s="5">
        <v>44.57522698</v>
      </c>
      <c r="U81" s="5">
        <v>45.55042848</v>
      </c>
    </row>
    <row r="82" ht="12.75" customHeight="1">
      <c r="B82" s="5">
        <v>11.0</v>
      </c>
      <c r="C82" s="5">
        <v>29.06865672</v>
      </c>
      <c r="D82" s="5">
        <v>32.07319795</v>
      </c>
      <c r="E82" s="5">
        <v>33.40014316</v>
      </c>
      <c r="F82" s="5">
        <v>34.30376611</v>
      </c>
      <c r="G82" s="5">
        <v>34.53272218</v>
      </c>
      <c r="H82" s="5">
        <v>34.91318995</v>
      </c>
      <c r="I82" s="5">
        <v>35.52305665</v>
      </c>
      <c r="J82" s="5">
        <v>35.9756912</v>
      </c>
      <c r="K82" s="5">
        <v>36.44095341</v>
      </c>
      <c r="L82" s="5">
        <v>36.9019286</v>
      </c>
      <c r="M82" s="5">
        <v>37.37220227</v>
      </c>
      <c r="N82" s="5">
        <v>38.04256511</v>
      </c>
      <c r="O82" s="5">
        <v>38.731195</v>
      </c>
      <c r="P82" s="5">
        <v>39.5945751</v>
      </c>
      <c r="Q82" s="5">
        <v>40.4870892</v>
      </c>
      <c r="R82" s="5">
        <v>41.36851521</v>
      </c>
      <c r="S82" s="5">
        <v>42.27878788</v>
      </c>
      <c r="T82" s="5">
        <v>43.07113228</v>
      </c>
      <c r="U82" s="5">
        <v>43.88594578</v>
      </c>
    </row>
    <row r="83" ht="12.75" customHeight="1">
      <c r="B83" s="5">
        <v>11.5</v>
      </c>
      <c r="C83" s="5">
        <v>27.32434351</v>
      </c>
      <c r="D83" s="5">
        <v>30.64411586</v>
      </c>
      <c r="E83" s="5">
        <v>32.52210433</v>
      </c>
      <c r="F83" s="5">
        <v>33.43830787</v>
      </c>
      <c r="G83" s="5">
        <v>34.1051616</v>
      </c>
      <c r="H83" s="5">
        <v>34.3263288</v>
      </c>
      <c r="I83" s="5">
        <v>34.53564257</v>
      </c>
      <c r="J83" s="5">
        <v>34.99047619</v>
      </c>
      <c r="K83" s="5">
        <v>35.45618093</v>
      </c>
      <c r="L83" s="5">
        <v>35.86171042</v>
      </c>
      <c r="M83" s="5">
        <v>36.27662372</v>
      </c>
      <c r="N83" s="5">
        <v>36.93189391</v>
      </c>
      <c r="O83" s="5">
        <v>37.60540541</v>
      </c>
      <c r="P83" s="5">
        <v>38.33333333</v>
      </c>
      <c r="Q83" s="5">
        <v>39.08231368</v>
      </c>
      <c r="R83" s="5">
        <v>39.60685201</v>
      </c>
      <c r="S83" s="5">
        <v>40.14180374</v>
      </c>
      <c r="T83" s="5">
        <v>40.55142857</v>
      </c>
      <c r="U83" s="5">
        <v>40.9671848</v>
      </c>
    </row>
    <row r="84" ht="12.75" customHeight="1">
      <c r="B84" s="5">
        <v>12.0</v>
      </c>
      <c r="C84" s="5">
        <v>24.77150961</v>
      </c>
      <c r="D84" s="5">
        <v>28.29206579</v>
      </c>
      <c r="E84" s="5">
        <v>30.58321762</v>
      </c>
      <c r="F84" s="5">
        <v>32.2831549</v>
      </c>
      <c r="G84" s="5">
        <v>33.00274851</v>
      </c>
      <c r="H84" s="5">
        <v>33.33490012</v>
      </c>
      <c r="I84" s="5">
        <v>33.90744275</v>
      </c>
      <c r="J84" s="5">
        <v>34.08937198</v>
      </c>
      <c r="K84" s="5">
        <v>34.27592955</v>
      </c>
      <c r="L84" s="5">
        <v>34.6736712</v>
      </c>
      <c r="M84" s="5">
        <v>35.07996002</v>
      </c>
      <c r="N84" s="5">
        <v>35.57000379</v>
      </c>
      <c r="O84" s="5">
        <v>36.07042613</v>
      </c>
      <c r="P84" s="5">
        <v>36.46604938</v>
      </c>
      <c r="Q84" s="5">
        <v>36.86803215</v>
      </c>
      <c r="R84" s="5">
        <v>37.71948326</v>
      </c>
      <c r="S84" s="5">
        <v>38.6001609</v>
      </c>
      <c r="T84" s="5">
        <v>39.51159618</v>
      </c>
      <c r="U84" s="5">
        <v>40.45542905</v>
      </c>
    </row>
    <row r="85" ht="12.75" customHeight="1">
      <c r="B85" s="5">
        <v>12.5</v>
      </c>
      <c r="C85" s="5">
        <v>22.7183908</v>
      </c>
      <c r="D85" s="5">
        <v>26.28991807</v>
      </c>
      <c r="E85" s="5">
        <v>28.93888264</v>
      </c>
      <c r="F85" s="5">
        <v>31.01008023</v>
      </c>
      <c r="G85" s="5">
        <v>31.60888698</v>
      </c>
      <c r="H85" s="5">
        <v>32.35137533</v>
      </c>
      <c r="I85" s="5">
        <v>32.62525504</v>
      </c>
      <c r="J85" s="5">
        <v>32.8225714</v>
      </c>
      <c r="K85" s="5">
        <v>33.02460539</v>
      </c>
      <c r="L85" s="5">
        <v>33.37314132</v>
      </c>
      <c r="M85" s="5">
        <v>33.72785259</v>
      </c>
      <c r="N85" s="5">
        <v>34.17402721</v>
      </c>
      <c r="O85" s="5">
        <v>34.62967431</v>
      </c>
      <c r="P85" s="5">
        <v>35.32615347</v>
      </c>
      <c r="Q85" s="5">
        <v>36.04321908</v>
      </c>
      <c r="R85" s="5">
        <v>36.86150739</v>
      </c>
      <c r="S85" s="5">
        <v>37.70731707</v>
      </c>
      <c r="T85" s="5">
        <v>38.55036534</v>
      </c>
      <c r="U85" s="5">
        <v>39.42159724</v>
      </c>
    </row>
    <row r="86" ht="12.75" customHeight="1">
      <c r="B86" s="5">
        <v>13.0</v>
      </c>
      <c r="C86" s="5">
        <v>20.04840148</v>
      </c>
      <c r="D86" s="5">
        <v>23.40085131</v>
      </c>
      <c r="E86" s="5">
        <v>26.19690484</v>
      </c>
      <c r="F86" s="5">
        <v>28.92400301</v>
      </c>
      <c r="G86" s="5">
        <v>30.37972127</v>
      </c>
      <c r="H86" s="5">
        <v>31.05783386</v>
      </c>
      <c r="I86" s="5">
        <v>31.37115839</v>
      </c>
      <c r="J86" s="5">
        <v>31.64346313</v>
      </c>
      <c r="K86" s="5">
        <v>31.92248403</v>
      </c>
      <c r="L86" s="5">
        <v>32.18753472</v>
      </c>
      <c r="M86" s="5">
        <v>32.4573991</v>
      </c>
      <c r="N86" s="5">
        <v>32.95464853</v>
      </c>
      <c r="O86" s="5">
        <v>33.46330275</v>
      </c>
      <c r="P86" s="5">
        <v>34.14940656</v>
      </c>
      <c r="Q86" s="5">
        <v>34.8559282</v>
      </c>
      <c r="R86" s="5">
        <v>35.28409768</v>
      </c>
      <c r="S86" s="5">
        <v>35.7197789</v>
      </c>
      <c r="T86" s="5">
        <v>36.6621754</v>
      </c>
      <c r="U86" s="5">
        <v>37.64176867</v>
      </c>
    </row>
    <row r="87" ht="12.75" customHeight="1">
      <c r="B87" s="5">
        <v>13.5</v>
      </c>
      <c r="C87" s="5">
        <v>17.87626203</v>
      </c>
      <c r="D87" s="5">
        <v>21.29561296</v>
      </c>
      <c r="E87" s="5">
        <v>24.48162627</v>
      </c>
      <c r="F87" s="5">
        <v>27.45651402</v>
      </c>
      <c r="G87" s="5">
        <v>28.71847562</v>
      </c>
      <c r="H87" s="5">
        <v>29.64559953</v>
      </c>
      <c r="I87" s="5">
        <v>30.10338536</v>
      </c>
      <c r="J87" s="5">
        <v>30.30925717</v>
      </c>
      <c r="K87" s="5">
        <v>30.52083333</v>
      </c>
      <c r="L87" s="5">
        <v>30.80285834</v>
      </c>
      <c r="M87" s="5">
        <v>31.0899067</v>
      </c>
      <c r="N87" s="5">
        <v>31.41422773</v>
      </c>
      <c r="O87" s="5">
        <v>31.74343521</v>
      </c>
      <c r="P87" s="5">
        <v>32.4983585</v>
      </c>
      <c r="Q87" s="5">
        <v>33.27916296</v>
      </c>
      <c r="R87" s="5">
        <v>34.11331445</v>
      </c>
      <c r="S87" s="5">
        <v>34.97807524</v>
      </c>
      <c r="T87" s="5">
        <v>35.74325909</v>
      </c>
      <c r="U87" s="5">
        <v>36.53323803</v>
      </c>
    </row>
    <row r="88" ht="12.75" customHeight="1">
      <c r="B88" s="5">
        <v>14.0</v>
      </c>
      <c r="C88" s="5">
        <v>15.61095132</v>
      </c>
      <c r="D88" s="5">
        <v>18.98046092</v>
      </c>
      <c r="E88" s="5">
        <v>22.29803808</v>
      </c>
      <c r="F88" s="5">
        <v>25.05283381</v>
      </c>
      <c r="G88" s="5">
        <v>27.04869046</v>
      </c>
      <c r="H88" s="5">
        <v>28.18824405</v>
      </c>
      <c r="I88" s="5">
        <v>28.67906442</v>
      </c>
      <c r="J88" s="5">
        <v>28.84675073</v>
      </c>
      <c r="K88" s="5">
        <v>29.01845308</v>
      </c>
      <c r="L88" s="5">
        <v>29.30897931</v>
      </c>
      <c r="M88" s="5">
        <v>29.60455362</v>
      </c>
      <c r="N88" s="5">
        <v>30.15376834</v>
      </c>
      <c r="O88" s="5">
        <v>30.71750718</v>
      </c>
      <c r="P88" s="5">
        <v>31.40774677</v>
      </c>
      <c r="Q88" s="5">
        <v>32.1201862</v>
      </c>
      <c r="R88" s="5">
        <v>32.52748426</v>
      </c>
      <c r="S88" s="5">
        <v>32.94206332</v>
      </c>
      <c r="T88" s="5">
        <v>33.74616396</v>
      </c>
      <c r="U88" s="5">
        <v>34.57933497</v>
      </c>
    </row>
    <row r="89" ht="12.75" customHeight="1">
      <c r="B89" s="5">
        <v>14.5</v>
      </c>
      <c r="C89" s="5">
        <v>13.38379511</v>
      </c>
      <c r="D89" s="5">
        <v>16.60165552</v>
      </c>
      <c r="E89" s="5">
        <v>20.23166534</v>
      </c>
      <c r="F89" s="5">
        <v>22.97534165</v>
      </c>
      <c r="G89" s="5">
        <v>25.6672213</v>
      </c>
      <c r="H89" s="5">
        <v>26.92077465</v>
      </c>
      <c r="I89" s="5">
        <v>27.29617605</v>
      </c>
      <c r="J89" s="5">
        <v>27.48949004</v>
      </c>
      <c r="K89" s="5">
        <v>27.6880326</v>
      </c>
      <c r="L89" s="5">
        <v>27.99887788</v>
      </c>
      <c r="M89" s="5">
        <v>28.31570997</v>
      </c>
      <c r="N89" s="5">
        <v>28.72807018</v>
      </c>
      <c r="O89" s="5">
        <v>29.14869029</v>
      </c>
      <c r="P89" s="5">
        <v>29.72371376</v>
      </c>
      <c r="Q89" s="5">
        <v>30.31478915</v>
      </c>
      <c r="R89" s="5">
        <v>31.02556361</v>
      </c>
      <c r="S89" s="5">
        <v>31.7604913</v>
      </c>
      <c r="T89" s="5">
        <v>32.33720448</v>
      </c>
      <c r="U89" s="5">
        <v>32.9291868</v>
      </c>
    </row>
    <row r="90" ht="12.75" customHeight="1">
      <c r="B90" s="5">
        <v>15.0</v>
      </c>
      <c r="C90" s="5">
        <v>8.920079994</v>
      </c>
      <c r="D90" s="5">
        <v>14.18167105</v>
      </c>
      <c r="E90" s="5">
        <v>18.65870016</v>
      </c>
      <c r="F90" s="5">
        <v>21.30736171</v>
      </c>
      <c r="G90" s="5">
        <v>23.83599509</v>
      </c>
      <c r="H90" s="5">
        <v>25.08252983</v>
      </c>
      <c r="I90" s="5">
        <v>25.77020844</v>
      </c>
      <c r="J90" s="5">
        <v>26.01461109</v>
      </c>
      <c r="K90" s="5">
        <v>26.26613185</v>
      </c>
      <c r="L90" s="5">
        <v>26.50588649</v>
      </c>
      <c r="M90" s="5">
        <v>26.74929178</v>
      </c>
      <c r="N90" s="5">
        <v>27.25096387</v>
      </c>
      <c r="O90" s="5">
        <v>27.76566757</v>
      </c>
      <c r="P90" s="5">
        <v>28.35145595</v>
      </c>
      <c r="Q90" s="5">
        <v>28.95455396</v>
      </c>
      <c r="R90" s="5">
        <v>29.2144873</v>
      </c>
      <c r="S90" s="5">
        <v>29.47756956</v>
      </c>
      <c r="T90" s="5">
        <v>30.14522023</v>
      </c>
      <c r="U90" s="5">
        <v>30.83479961</v>
      </c>
    </row>
    <row r="91" ht="12.75" customHeight="1">
      <c r="B91" s="5">
        <v>15.5</v>
      </c>
      <c r="C91" s="5">
        <v>6.679396199</v>
      </c>
      <c r="D91" s="5">
        <v>11.83465056</v>
      </c>
      <c r="E91" s="5">
        <v>15.86868038</v>
      </c>
      <c r="F91" s="5">
        <v>19.94409776</v>
      </c>
      <c r="G91" s="5">
        <v>21.60061832</v>
      </c>
      <c r="H91" s="5">
        <v>23.50818168</v>
      </c>
      <c r="I91" s="5">
        <v>24.40715884</v>
      </c>
      <c r="J91" s="5">
        <v>24.64600696</v>
      </c>
      <c r="K91" s="5">
        <v>24.89100148</v>
      </c>
      <c r="L91" s="5">
        <v>25.17369727</v>
      </c>
      <c r="M91" s="5">
        <v>25.46167975</v>
      </c>
      <c r="N91" s="5">
        <v>25.86096347</v>
      </c>
      <c r="O91" s="5">
        <v>26.26875853</v>
      </c>
      <c r="P91" s="5">
        <v>26.61877312</v>
      </c>
      <c r="Q91" s="5">
        <v>26.9751693</v>
      </c>
      <c r="R91" s="5">
        <v>27.54977974</v>
      </c>
      <c r="S91" s="5">
        <v>28.14165623</v>
      </c>
      <c r="T91" s="5">
        <v>28.66280123</v>
      </c>
      <c r="U91" s="5">
        <v>29.19772352</v>
      </c>
    </row>
    <row r="92" ht="12.75" customHeight="1">
      <c r="B92" s="5">
        <v>16.0</v>
      </c>
      <c r="C92" s="5">
        <v>5.148063781</v>
      </c>
      <c r="D92" s="5">
        <v>9.79402916</v>
      </c>
      <c r="E92" s="5">
        <v>13.79113434</v>
      </c>
      <c r="F92" s="5">
        <v>17.28984842</v>
      </c>
      <c r="G92" s="5">
        <v>19.65009684</v>
      </c>
      <c r="H92" s="5">
        <v>22.25010818</v>
      </c>
      <c r="I92" s="5">
        <v>22.76772471</v>
      </c>
      <c r="J92" s="5">
        <v>23.11792239</v>
      </c>
      <c r="K92" s="5">
        <v>23.48093481</v>
      </c>
      <c r="L92" s="5">
        <v>23.71802821</v>
      </c>
      <c r="M92" s="5">
        <v>23.9590497</v>
      </c>
      <c r="N92" s="5">
        <v>24.28233438</v>
      </c>
      <c r="O92" s="5">
        <v>24.61158867</v>
      </c>
      <c r="P92" s="5">
        <v>25.09233126</v>
      </c>
      <c r="Q92" s="5">
        <v>25.58588005</v>
      </c>
      <c r="R92" s="5">
        <v>26.01917672</v>
      </c>
      <c r="S92" s="5">
        <v>26.46261917</v>
      </c>
      <c r="T92" s="5">
        <v>26.67647553</v>
      </c>
      <c r="U92" s="5">
        <v>26.89264582</v>
      </c>
    </row>
    <row r="93" ht="12.75" customHeight="1">
      <c r="B93" s="5">
        <v>16.5</v>
      </c>
      <c r="C93" s="5">
        <v>5.057088254</v>
      </c>
      <c r="D93" s="5">
        <v>5.556730624</v>
      </c>
      <c r="E93" s="5">
        <v>11.76338901</v>
      </c>
      <c r="F93" s="5">
        <v>14.99896886</v>
      </c>
      <c r="G93" s="5">
        <v>18.21053901</v>
      </c>
      <c r="H93" s="5">
        <v>19.98954658</v>
      </c>
      <c r="I93" s="5">
        <v>21.10101844</v>
      </c>
      <c r="J93" s="5">
        <v>21.57391121</v>
      </c>
      <c r="K93" s="5">
        <v>22.06851879</v>
      </c>
      <c r="L93" s="5">
        <v>22.30311389</v>
      </c>
      <c r="M93" s="5">
        <v>22.54172767</v>
      </c>
      <c r="N93" s="5">
        <v>22.89413331</v>
      </c>
      <c r="O93" s="5">
        <v>23.25407507</v>
      </c>
      <c r="P93" s="5">
        <v>23.57854233</v>
      </c>
      <c r="Q93" s="5">
        <v>23.90893863</v>
      </c>
      <c r="R93" s="5">
        <v>24.21068796</v>
      </c>
      <c r="S93" s="5">
        <v>24.51757782</v>
      </c>
      <c r="T93" s="5">
        <v>25.03260272</v>
      </c>
      <c r="U93" s="5">
        <v>25.56281888</v>
      </c>
    </row>
    <row r="94" ht="12.75" customHeight="1">
      <c r="B94" s="5">
        <v>17.0</v>
      </c>
      <c r="C94" s="5">
        <v>4.940583706</v>
      </c>
      <c r="D94" s="5">
        <v>5.318644403</v>
      </c>
      <c r="E94" s="5">
        <v>7.071076192</v>
      </c>
      <c r="F94" s="5">
        <v>12.77838727</v>
      </c>
      <c r="G94" s="5">
        <v>16.56381332</v>
      </c>
      <c r="H94" s="5">
        <v>17.91908886</v>
      </c>
      <c r="I94" s="5">
        <v>19.66632444</v>
      </c>
      <c r="J94" s="5">
        <v>20.12586037</v>
      </c>
      <c r="K94" s="5">
        <v>20.60565456</v>
      </c>
      <c r="L94" s="5">
        <v>20.89800068</v>
      </c>
      <c r="M94" s="5">
        <v>21.19720241</v>
      </c>
      <c r="N94" s="5">
        <v>21.45385413</v>
      </c>
      <c r="O94" s="5">
        <v>21.7147637</v>
      </c>
      <c r="P94" s="5">
        <v>21.98383696</v>
      </c>
      <c r="Q94" s="5">
        <v>22.25733314</v>
      </c>
      <c r="R94" s="5">
        <v>22.70318782</v>
      </c>
      <c r="S94" s="5">
        <v>23.16111192</v>
      </c>
      <c r="T94" s="5">
        <v>23.5734276</v>
      </c>
      <c r="U94" s="5">
        <v>23.99582526</v>
      </c>
    </row>
    <row r="95" ht="12.75" customHeight="1">
      <c r="B95" s="5">
        <v>17.5</v>
      </c>
      <c r="C95" s="5">
        <v>4.852595156</v>
      </c>
      <c r="D95" s="5">
        <v>5.108591657</v>
      </c>
      <c r="E95" s="5">
        <v>5.396329365</v>
      </c>
      <c r="F95" s="5">
        <v>10.71342685</v>
      </c>
      <c r="G95" s="5">
        <v>14.18975815</v>
      </c>
      <c r="H95" s="5">
        <v>15.92493298</v>
      </c>
      <c r="I95" s="5">
        <v>18.15914489</v>
      </c>
      <c r="J95" s="5">
        <v>18.61767385</v>
      </c>
      <c r="K95" s="5">
        <v>19.09757613</v>
      </c>
      <c r="L95" s="5">
        <v>19.4445145</v>
      </c>
      <c r="M95" s="5">
        <v>19.80166347</v>
      </c>
      <c r="N95" s="5">
        <v>20.0</v>
      </c>
      <c r="O95" s="5">
        <v>20.20114197</v>
      </c>
      <c r="P95" s="5">
        <v>20.56058816</v>
      </c>
      <c r="Q95" s="5">
        <v>20.92853348</v>
      </c>
      <c r="R95" s="5">
        <v>21.29038759</v>
      </c>
      <c r="S95" s="5">
        <v>21.66055171</v>
      </c>
      <c r="T95" s="5">
        <v>21.75977654</v>
      </c>
      <c r="U95" s="5">
        <v>21.85954365</v>
      </c>
    </row>
    <row r="96" ht="12.75" customHeight="1">
      <c r="B96" s="5">
        <v>18.0</v>
      </c>
      <c r="C96" s="5">
        <v>4.770153529</v>
      </c>
      <c r="D96" s="5">
        <v>5.00623355</v>
      </c>
      <c r="E96" s="5">
        <v>5.278080698</v>
      </c>
      <c r="F96" s="5">
        <v>5.29220306</v>
      </c>
      <c r="G96" s="5">
        <v>12.0</v>
      </c>
      <c r="H96" s="5">
        <v>14.00134953</v>
      </c>
      <c r="I96" s="5">
        <v>15.94775406</v>
      </c>
      <c r="J96" s="5">
        <v>16.80321063</v>
      </c>
      <c r="K96" s="5">
        <v>17.73473636</v>
      </c>
      <c r="L96" s="5">
        <v>18.01135698</v>
      </c>
      <c r="M96" s="5">
        <v>18.29499644</v>
      </c>
      <c r="N96" s="5">
        <v>18.5928413</v>
      </c>
      <c r="O96" s="5">
        <v>18.89751364</v>
      </c>
      <c r="P96" s="5">
        <v>19.2152054</v>
      </c>
      <c r="Q96" s="5">
        <v>19.5399876</v>
      </c>
      <c r="R96" s="5">
        <v>19.64607825</v>
      </c>
      <c r="S96" s="5">
        <v>19.75287069</v>
      </c>
      <c r="T96" s="5">
        <v>20.1111462</v>
      </c>
      <c r="U96" s="5">
        <v>20.47807746</v>
      </c>
    </row>
    <row r="97" ht="12.75" customHeight="1">
      <c r="B97" s="5">
        <v>18.5</v>
      </c>
      <c r="C97" s="5">
        <v>4.674975458</v>
      </c>
      <c r="D97" s="5">
        <v>4.93983477</v>
      </c>
      <c r="E97" s="5">
        <v>5.036876556</v>
      </c>
      <c r="F97" s="5">
        <v>5.188536953</v>
      </c>
      <c r="G97" s="5">
        <v>9.900886802</v>
      </c>
      <c r="H97" s="5">
        <v>11.87939358</v>
      </c>
      <c r="I97" s="5">
        <v>13.9969518</v>
      </c>
      <c r="J97" s="5">
        <v>15.13480763</v>
      </c>
      <c r="K97" s="5">
        <v>16.41813494</v>
      </c>
      <c r="L97" s="5">
        <v>16.66775368</v>
      </c>
      <c r="M97" s="5">
        <v>16.92333077</v>
      </c>
      <c r="N97" s="5">
        <v>17.24749164</v>
      </c>
      <c r="O97" s="5">
        <v>17.58051757</v>
      </c>
      <c r="P97" s="5">
        <v>17.76917824</v>
      </c>
      <c r="Q97" s="5">
        <v>17.96056403</v>
      </c>
      <c r="R97" s="5">
        <v>18.18502254</v>
      </c>
      <c r="S97" s="5">
        <v>18.41314226</v>
      </c>
      <c r="T97" s="5">
        <v>18.76503892</v>
      </c>
      <c r="U97" s="5">
        <v>19.12576138</v>
      </c>
    </row>
    <row r="98" ht="12.75" customHeight="1">
      <c r="B98" s="5">
        <v>19.0</v>
      </c>
      <c r="C98" s="5">
        <v>4.576699108</v>
      </c>
      <c r="D98" s="5">
        <v>4.774460667</v>
      </c>
      <c r="E98" s="5">
        <v>5.013395406</v>
      </c>
      <c r="F98" s="5">
        <v>5.150898149</v>
      </c>
      <c r="G98" s="5">
        <v>5.057297396</v>
      </c>
      <c r="H98" s="5">
        <v>6.588785047</v>
      </c>
      <c r="I98" s="5">
        <v>12.02412077</v>
      </c>
      <c r="J98" s="5">
        <v>13.24028907</v>
      </c>
      <c r="K98" s="5">
        <v>14.64261402</v>
      </c>
      <c r="L98" s="5">
        <v>15.09147857</v>
      </c>
      <c r="M98" s="5">
        <v>15.56098057</v>
      </c>
      <c r="N98" s="5">
        <v>15.89878647</v>
      </c>
      <c r="O98" s="5">
        <v>16.24711559</v>
      </c>
      <c r="P98" s="5">
        <v>16.38027426</v>
      </c>
      <c r="Q98" s="5">
        <v>16.51495863</v>
      </c>
      <c r="R98" s="5">
        <v>16.81479096</v>
      </c>
      <c r="S98" s="5">
        <v>17.12175519</v>
      </c>
      <c r="T98" s="5">
        <v>17.4494172</v>
      </c>
      <c r="U98" s="5">
        <v>17.78532457</v>
      </c>
    </row>
    <row r="99" ht="12.75" customHeight="1">
      <c r="B99" s="5">
        <v>19.5</v>
      </c>
      <c r="C99" s="5">
        <v>4.559883962</v>
      </c>
      <c r="D99" s="5">
        <v>4.7509659</v>
      </c>
      <c r="E99" s="5">
        <v>4.766089429</v>
      </c>
      <c r="F99" s="5">
        <v>4.892524584</v>
      </c>
      <c r="G99" s="5">
        <v>5.085222202</v>
      </c>
      <c r="H99" s="5">
        <v>5.579560626</v>
      </c>
      <c r="I99" s="5">
        <v>9.865844815</v>
      </c>
      <c r="J99" s="5">
        <v>11.31045739</v>
      </c>
      <c r="K99" s="5">
        <v>13.06857294</v>
      </c>
      <c r="L99" s="5">
        <v>13.657848</v>
      </c>
      <c r="M99" s="5">
        <v>14.28598307</v>
      </c>
      <c r="N99" s="5">
        <v>14.49643367</v>
      </c>
      <c r="O99" s="5">
        <v>14.71153846</v>
      </c>
      <c r="P99" s="5">
        <v>14.98637337</v>
      </c>
      <c r="Q99" s="5">
        <v>15.26803311</v>
      </c>
      <c r="R99" s="5">
        <v>15.55744002</v>
      </c>
      <c r="S99" s="5">
        <v>15.85412668</v>
      </c>
      <c r="T99" s="5">
        <v>16.11269906</v>
      </c>
      <c r="U99" s="5">
        <v>16.37676674</v>
      </c>
    </row>
    <row r="100" ht="12.75" customHeight="1">
      <c r="B100" s="5">
        <v>20.0</v>
      </c>
      <c r="C100" s="5">
        <v>4.47015493</v>
      </c>
      <c r="D100" s="5">
        <v>4.594339623</v>
      </c>
      <c r="E100" s="5">
        <v>4.673219086</v>
      </c>
      <c r="F100" s="5">
        <v>4.710495083</v>
      </c>
      <c r="G100" s="5">
        <v>4.866894198</v>
      </c>
      <c r="H100" s="5">
        <v>4.798225591</v>
      </c>
      <c r="I100" s="5">
        <v>6.665421857</v>
      </c>
      <c r="J100" s="5">
        <v>8.599862841</v>
      </c>
      <c r="K100" s="5">
        <v>11.47628114</v>
      </c>
      <c r="L100" s="5">
        <v>12.25714048</v>
      </c>
      <c r="M100" s="5">
        <v>13.11443999</v>
      </c>
      <c r="N100" s="5">
        <v>13.30326895</v>
      </c>
      <c r="O100" s="5">
        <v>13.49604339</v>
      </c>
      <c r="P100" s="5">
        <v>13.77698652</v>
      </c>
      <c r="Q100" s="5">
        <v>14.06581353</v>
      </c>
      <c r="R100" s="5">
        <v>14.34802741</v>
      </c>
      <c r="S100" s="5">
        <v>14.63776276</v>
      </c>
      <c r="T100" s="5">
        <v>14.70563321</v>
      </c>
      <c r="U100" s="5">
        <v>14.7739073</v>
      </c>
    </row>
    <row r="101" ht="12.75" customHeight="1">
      <c r="B101" s="5">
        <v>20.5</v>
      </c>
      <c r="C101" s="5">
        <v>4.415625246</v>
      </c>
      <c r="D101" s="5">
        <v>4.519680594</v>
      </c>
      <c r="E101" s="5">
        <v>4.605993341</v>
      </c>
      <c r="F101" s="5">
        <v>4.657624876</v>
      </c>
      <c r="G101" s="5">
        <v>4.668125155</v>
      </c>
      <c r="H101" s="5">
        <v>4.770151266</v>
      </c>
      <c r="I101" s="5">
        <v>4.803156251</v>
      </c>
      <c r="J101" s="5">
        <v>6.685196406</v>
      </c>
      <c r="K101" s="5">
        <v>9.81343807</v>
      </c>
      <c r="L101" s="5">
        <v>10.78358069</v>
      </c>
      <c r="M101" s="5">
        <v>11.89096149</v>
      </c>
      <c r="N101" s="5">
        <v>12.08621736</v>
      </c>
      <c r="O101" s="5">
        <v>12.28590142</v>
      </c>
      <c r="P101" s="5">
        <v>12.60044132</v>
      </c>
      <c r="Q101" s="5">
        <v>12.92587886</v>
      </c>
      <c r="R101" s="5">
        <v>13.14515784</v>
      </c>
      <c r="S101" s="5">
        <v>13.36943337</v>
      </c>
      <c r="T101" s="5">
        <v>13.46170583</v>
      </c>
      <c r="U101" s="5">
        <v>13.55481728</v>
      </c>
    </row>
    <row r="102" ht="12.75" customHeight="1">
      <c r="B102" s="5">
        <v>21.0</v>
      </c>
      <c r="C102" s="5">
        <v>4.363061012</v>
      </c>
      <c r="D102" s="5">
        <v>4.394856563</v>
      </c>
      <c r="E102" s="5">
        <v>4.481133912</v>
      </c>
      <c r="F102" s="5">
        <v>4.565260059</v>
      </c>
      <c r="G102" s="5">
        <v>4.541097821</v>
      </c>
      <c r="H102" s="5">
        <v>4.678545336</v>
      </c>
      <c r="I102" s="5">
        <v>4.596156978</v>
      </c>
      <c r="J102" s="5">
        <v>4.681906094</v>
      </c>
      <c r="K102" s="5">
        <v>4.769531575</v>
      </c>
      <c r="L102" s="5">
        <v>6.846716099</v>
      </c>
      <c r="M102" s="5">
        <v>10.44952738</v>
      </c>
      <c r="N102" s="5">
        <v>10.7699102</v>
      </c>
      <c r="O102" s="5">
        <v>11.10343273</v>
      </c>
      <c r="P102" s="5">
        <v>11.48250567</v>
      </c>
      <c r="Q102" s="5">
        <v>11.87912606</v>
      </c>
      <c r="R102" s="5">
        <v>11.94161736</v>
      </c>
      <c r="S102" s="5">
        <v>12.0045937</v>
      </c>
      <c r="T102" s="5">
        <v>12.22783187</v>
      </c>
      <c r="U102" s="5">
        <v>12.45641067</v>
      </c>
    </row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6">
    <mergeCell ref="AC3:AD3"/>
    <mergeCell ref="AI3:AJ3"/>
    <mergeCell ref="AK3:AL3"/>
    <mergeCell ref="AC54:AD54"/>
    <mergeCell ref="AI54:AJ54"/>
    <mergeCell ref="AK54:AL54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51" width="9.14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ht="12.75" customHeight="1">
      <c r="A2" s="1"/>
      <c r="B2" s="1"/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/>
      <c r="W2" s="1" t="s">
        <v>1</v>
      </c>
      <c r="X2" s="1"/>
      <c r="Y2" s="1"/>
      <c r="Z2" s="1"/>
      <c r="AA2" s="1"/>
      <c r="AB2" s="1" t="s">
        <v>2</v>
      </c>
      <c r="AC2" s="1" t="s">
        <v>3</v>
      </c>
      <c r="AE2" s="1"/>
      <c r="AF2" s="1"/>
      <c r="AG2" s="1"/>
      <c r="AH2" s="1"/>
      <c r="AI2" s="1" t="s">
        <v>4</v>
      </c>
      <c r="AK2" s="1" t="s">
        <v>5</v>
      </c>
      <c r="AM2" s="1" t="s">
        <v>6</v>
      </c>
      <c r="AN2" s="1" t="s">
        <v>7</v>
      </c>
      <c r="AO2" s="1" t="s">
        <v>0</v>
      </c>
      <c r="AP2" s="1"/>
      <c r="AQ2" s="1"/>
      <c r="AR2" s="1"/>
      <c r="AS2" s="1"/>
      <c r="AT2" s="1"/>
      <c r="AU2" s="1"/>
      <c r="AV2" s="1"/>
      <c r="AW2" s="1"/>
      <c r="AX2" s="1"/>
      <c r="AY2" s="1"/>
    </row>
    <row r="3" ht="12.75" customHeight="1">
      <c r="A3" s="1"/>
      <c r="B3" s="1"/>
      <c r="C3" s="1">
        <v>50000.0</v>
      </c>
      <c r="D3" s="1">
        <v>75000.0</v>
      </c>
      <c r="E3" s="1">
        <v>100000.0</v>
      </c>
      <c r="F3" s="1">
        <v>125000.0</v>
      </c>
      <c r="G3" s="1">
        <v>150000.0</v>
      </c>
      <c r="H3" s="1">
        <v>175000.0</v>
      </c>
      <c r="I3" s="1">
        <v>200000.0</v>
      </c>
      <c r="J3" s="1">
        <v>225000.0</v>
      </c>
      <c r="K3" s="1">
        <v>250000.0</v>
      </c>
      <c r="L3" s="1">
        <v>275000.0</v>
      </c>
      <c r="M3" s="1">
        <v>300000.0</v>
      </c>
      <c r="N3" s="1">
        <v>325000.0</v>
      </c>
      <c r="O3" s="1">
        <v>350000.0</v>
      </c>
      <c r="P3" s="1">
        <v>375000.0</v>
      </c>
      <c r="Q3" s="1">
        <v>400000.0</v>
      </c>
      <c r="R3" s="1">
        <v>425000.0</v>
      </c>
      <c r="S3" s="1">
        <v>450000.0</v>
      </c>
      <c r="T3" s="1">
        <v>475000.0</v>
      </c>
      <c r="U3" s="1">
        <v>500000.0</v>
      </c>
      <c r="V3" s="1"/>
      <c r="W3" s="2" t="str">
        <f>IF('расчет'!R22&lt;50000,50000,'расчет'!R22)</f>
        <v>163883.2139</v>
      </c>
      <c r="X3" s="2" t="str">
        <f t="shared" ref="X3:X19" si="1">IF((W3&gt;475000),475000,(ROUNDDOWN((W3/25000),0))*25000)</f>
        <v>150000</v>
      </c>
      <c r="Y3" s="2" t="str">
        <f t="shared" ref="Y3:Y19" si="2">X3+25000</f>
        <v>175000</v>
      </c>
      <c r="Z3" s="2" t="str">
        <f t="shared" ref="Z3:Z19" si="3">IF((W3&gt;500000),0,(Y3-W3)/25000)</f>
        <v>0.444671445</v>
      </c>
      <c r="AA3" s="2" t="str">
        <f t="shared" ref="AA3:AA19" si="4">1-Z3</f>
        <v>0.555328555</v>
      </c>
      <c r="AB3" s="2" t="str">
        <f>'расчет'!P22</f>
        <v>7.018095386</v>
      </c>
      <c r="AC3" s="1">
        <v>0.0</v>
      </c>
      <c r="AD3" s="1">
        <v>23.0</v>
      </c>
      <c r="AE3" s="2" t="str">
        <f t="shared" ref="AE3:AE19" si="6">IF(AB3&gt;0,ROUNDDOWN((AB3/0.5),0)*0.5,ROUNDUP((AB3/0.5),0)*0.5)</f>
        <v>7</v>
      </c>
      <c r="AF3" s="2" t="str">
        <f t="shared" ref="AF3:AF19" si="7">AE3+0.5</f>
        <v>7.5</v>
      </c>
      <c r="AG3" s="2" t="str">
        <f t="shared" ref="AG3:AG19" si="8">(AF3-AB3)/0.5</f>
        <v>0.9638092287</v>
      </c>
      <c r="AH3" s="2" t="str">
        <f t="shared" ref="AH3:AH19" si="9">1-AG3</f>
        <v>0.03619077129</v>
      </c>
      <c r="AI3" s="2" t="str">
        <f>VLOOKUP(AE3,B4:U50,(X3/25000),FALSE)</f>
        <v>1.107836607</v>
      </c>
      <c r="AJ3" s="2" t="str">
        <f>VLOOKUP(AF3,B4:U50,(X3/25000),FALSE)</f>
        <v>1.158789286</v>
      </c>
      <c r="AK3" s="2" t="str">
        <f>VLOOKUP(AE3,B4:U50,(Y3/25000),FALSE)</f>
        <v>1.2205875</v>
      </c>
      <c r="AL3" s="2" t="str">
        <f>VLOOKUP(AF3,B4:U50,(Y3/25000),FALSE)</f>
        <v>1.27455</v>
      </c>
      <c r="AM3" s="2" t="str">
        <f t="shared" ref="AM3:AM19" si="10">AI3*AG3+AJ3*AH3</f>
        <v>1.109680624</v>
      </c>
      <c r="AN3" s="2" t="str">
        <f t="shared" ref="AN3:AN19" si="11">AK3*AG3+AL3*AH3</f>
        <v>1.222540444</v>
      </c>
      <c r="AO3" s="2" t="str">
        <f t="shared" ref="AO3:AO19" si="12">AM3*Z3+AN3*AA3</f>
        <v>1.172354905</v>
      </c>
      <c r="AP3" s="1"/>
      <c r="AQ3" s="1"/>
      <c r="AR3" s="1"/>
      <c r="AS3" s="1"/>
      <c r="AT3" s="1"/>
      <c r="AU3" s="1"/>
      <c r="AV3" s="1"/>
      <c r="AW3" s="1"/>
      <c r="AX3" s="1"/>
      <c r="AY3" s="1"/>
    </row>
    <row r="4" ht="12.75" customHeight="1">
      <c r="A4" s="1"/>
      <c r="B4" s="5">
        <v>0.0</v>
      </c>
      <c r="C4" s="5">
        <v>0.01</v>
      </c>
      <c r="D4" s="5">
        <v>0.01</v>
      </c>
      <c r="E4" s="5">
        <v>0.0713</v>
      </c>
      <c r="F4" s="5">
        <v>0.0397</v>
      </c>
      <c r="G4" s="5">
        <v>0.2459</v>
      </c>
      <c r="H4" s="5">
        <v>0.3452</v>
      </c>
      <c r="I4" s="5">
        <v>0.4445</v>
      </c>
      <c r="J4" s="5">
        <v>0.515625</v>
      </c>
      <c r="K4" s="5">
        <v>0.58675</v>
      </c>
      <c r="L4" s="5">
        <v>0.657875</v>
      </c>
      <c r="M4" s="5">
        <v>0.729</v>
      </c>
      <c r="N4" s="5">
        <v>0.79275</v>
      </c>
      <c r="O4" s="5">
        <v>0.8565</v>
      </c>
      <c r="P4" s="5">
        <v>0.9228</v>
      </c>
      <c r="Q4" s="5">
        <v>0.9891</v>
      </c>
      <c r="R4" s="5">
        <v>1.006775</v>
      </c>
      <c r="S4" s="5">
        <v>1.02445</v>
      </c>
      <c r="T4" s="5">
        <v>1.055025</v>
      </c>
      <c r="U4" s="5">
        <v>1.0856</v>
      </c>
      <c r="V4" s="1"/>
      <c r="W4" s="2" t="str">
        <f>IF('расчет'!R23&lt;50000,50000,'расчет'!R23)</f>
        <v>161126.0378</v>
      </c>
      <c r="X4" s="2" t="str">
        <f t="shared" si="1"/>
        <v>150000</v>
      </c>
      <c r="Y4" s="2" t="str">
        <f t="shared" si="2"/>
        <v>175000</v>
      </c>
      <c r="Z4" s="2" t="str">
        <f t="shared" si="3"/>
        <v>0.5549584897</v>
      </c>
      <c r="AA4" s="2" t="str">
        <f t="shared" si="4"/>
        <v>0.4450415103</v>
      </c>
      <c r="AB4" s="2" t="str">
        <f>'расчет'!P23</f>
        <v>7.75866912</v>
      </c>
      <c r="AC4" s="2" t="str">
        <f t="shared" ref="AC4:AD4" si="5">AC3</f>
        <v>0</v>
      </c>
      <c r="AD4" s="2" t="str">
        <f t="shared" si="5"/>
        <v>23</v>
      </c>
      <c r="AE4" s="2" t="str">
        <f t="shared" si="6"/>
        <v>7.5</v>
      </c>
      <c r="AF4" s="2" t="str">
        <f t="shared" si="7"/>
        <v>8</v>
      </c>
      <c r="AG4" s="2" t="str">
        <f t="shared" si="8"/>
        <v>0.4826617596</v>
      </c>
      <c r="AH4" s="2" t="str">
        <f t="shared" si="9"/>
        <v>0.5173382404</v>
      </c>
      <c r="AI4" s="2" t="str">
        <f>VLOOKUP(AE4,B4:U50,(X4/25000),FALSE)</f>
        <v>1.158789286</v>
      </c>
      <c r="AJ4" s="2" t="str">
        <f>VLOOKUP(AF4,B4:U50,(X4/25000),FALSE)</f>
        <v>1.209741964</v>
      </c>
      <c r="AK4" s="2" t="str">
        <f>VLOOKUP(AE4,B4:U50,(Y4/25000),FALSE)</f>
        <v>1.27455</v>
      </c>
      <c r="AL4" s="2" t="str">
        <f>VLOOKUP(AF4,B4:U50,(Y4/25000),FALSE)</f>
        <v>1.3285125</v>
      </c>
      <c r="AM4" s="2" t="str">
        <f t="shared" si="10"/>
        <v>1.185149055</v>
      </c>
      <c r="AN4" s="2" t="str">
        <f t="shared" si="11"/>
        <v>1.302466865</v>
      </c>
      <c r="AO4" s="2" t="str">
        <f t="shared" si="12"/>
        <v>1.23736035</v>
      </c>
      <c r="AP4" s="1"/>
      <c r="AQ4" s="1"/>
      <c r="AR4" s="1"/>
      <c r="AS4" s="1"/>
      <c r="AT4" s="1"/>
      <c r="AU4" s="1"/>
      <c r="AV4" s="1"/>
      <c r="AW4" s="1"/>
      <c r="AX4" s="1"/>
      <c r="AY4" s="1"/>
    </row>
    <row r="5" ht="12.75" customHeight="1">
      <c r="A5" s="1"/>
      <c r="B5" s="5">
        <v>0.5</v>
      </c>
      <c r="C5" s="5">
        <v>0.01</v>
      </c>
      <c r="D5" s="5">
        <v>0.01</v>
      </c>
      <c r="E5" s="5">
        <v>0.0902</v>
      </c>
      <c r="F5" s="5">
        <v>0.1169</v>
      </c>
      <c r="G5" s="5">
        <v>0.2544</v>
      </c>
      <c r="H5" s="5">
        <v>0.3792</v>
      </c>
      <c r="I5" s="5">
        <v>0.4831</v>
      </c>
      <c r="J5" s="5">
        <v>0.565258333</v>
      </c>
      <c r="K5" s="5">
        <v>0.647416667</v>
      </c>
      <c r="L5" s="5">
        <v>0.729575</v>
      </c>
      <c r="M5" s="5">
        <v>0.811733333</v>
      </c>
      <c r="N5" s="5">
        <v>0.880816667</v>
      </c>
      <c r="O5" s="5">
        <v>0.9499</v>
      </c>
      <c r="P5" s="5">
        <v>1.01605</v>
      </c>
      <c r="Q5" s="5">
        <v>1.0822</v>
      </c>
      <c r="R5" s="5">
        <v>1.11225</v>
      </c>
      <c r="S5" s="5">
        <v>1.1423</v>
      </c>
      <c r="T5" s="5">
        <v>1.14426</v>
      </c>
      <c r="U5" s="5">
        <v>1.14622</v>
      </c>
      <c r="V5" s="1"/>
      <c r="W5" s="2" t="str">
        <f>IF('расчет'!R24&lt;50000,50000,'расчет'!R24)</f>
        <v>158297.851</v>
      </c>
      <c r="X5" s="2" t="str">
        <f t="shared" si="1"/>
        <v>150000</v>
      </c>
      <c r="Y5" s="2" t="str">
        <f t="shared" si="2"/>
        <v>175000</v>
      </c>
      <c r="Z5" s="2" t="str">
        <f t="shared" si="3"/>
        <v>0.6680859584</v>
      </c>
      <c r="AA5" s="2" t="str">
        <f t="shared" si="4"/>
        <v>0.3319140416</v>
      </c>
      <c r="AB5" s="2" t="str">
        <f>'расчет'!P24</f>
        <v>8.407959642</v>
      </c>
      <c r="AC5" s="2" t="str">
        <f t="shared" ref="AC5:AD5" si="13">AC4</f>
        <v>0</v>
      </c>
      <c r="AD5" s="2" t="str">
        <f t="shared" si="13"/>
        <v>23</v>
      </c>
      <c r="AE5" s="2" t="str">
        <f t="shared" si="6"/>
        <v>8</v>
      </c>
      <c r="AF5" s="2" t="str">
        <f t="shared" si="7"/>
        <v>8.5</v>
      </c>
      <c r="AG5" s="2" t="str">
        <f t="shared" si="8"/>
        <v>0.1840807162</v>
      </c>
      <c r="AH5" s="2" t="str">
        <f t="shared" si="9"/>
        <v>0.8159192838</v>
      </c>
      <c r="AI5" s="2" t="str">
        <f>VLOOKUP(AE5,B4:U50,(X5/25000),FALSE)</f>
        <v>1.209741964</v>
      </c>
      <c r="AJ5" s="2" t="str">
        <f>VLOOKUP(AF5,B4:U50,(X5/25000),FALSE)</f>
        <v>1.2313</v>
      </c>
      <c r="AK5" s="2" t="str">
        <f>VLOOKUP(AE5,B4:U50,(Y5/25000),FALSE)</f>
        <v>1.3285125</v>
      </c>
      <c r="AL5" s="2" t="str">
        <f>VLOOKUP(AF5,B4:U50,(Y5/25000),FALSE)</f>
        <v>1.382475</v>
      </c>
      <c r="AM5" s="2" t="str">
        <f t="shared" si="10"/>
        <v>1.227331581</v>
      </c>
      <c r="AN5" s="2" t="str">
        <f t="shared" si="11"/>
        <v>1.372541544</v>
      </c>
      <c r="AO5" s="2" t="str">
        <f t="shared" si="12"/>
        <v>1.275528807</v>
      </c>
      <c r="AP5" s="1"/>
      <c r="AQ5" s="1"/>
      <c r="AR5" s="1"/>
      <c r="AS5" s="1"/>
      <c r="AT5" s="1"/>
      <c r="AU5" s="1"/>
      <c r="AV5" s="1"/>
      <c r="AW5" s="1"/>
      <c r="AX5" s="1"/>
      <c r="AY5" s="1"/>
    </row>
    <row r="6" ht="12.75" customHeight="1">
      <c r="A6" s="1"/>
      <c r="B6" s="5">
        <v>1.0</v>
      </c>
      <c r="C6" s="5">
        <v>0.01</v>
      </c>
      <c r="D6" s="5">
        <v>0.0804</v>
      </c>
      <c r="E6" s="5">
        <v>0.1124</v>
      </c>
      <c r="F6" s="5">
        <v>0.1469</v>
      </c>
      <c r="G6" s="5">
        <v>0.4217</v>
      </c>
      <c r="H6" s="5">
        <v>0.4574</v>
      </c>
      <c r="I6" s="5">
        <v>0.564525</v>
      </c>
      <c r="J6" s="5">
        <v>0.647010417</v>
      </c>
      <c r="K6" s="5">
        <v>0.729495833</v>
      </c>
      <c r="L6" s="5">
        <v>0.81198125</v>
      </c>
      <c r="M6" s="5">
        <v>0.894466667</v>
      </c>
      <c r="N6" s="5">
        <v>0.988533333</v>
      </c>
      <c r="O6" s="5">
        <v>1.0826</v>
      </c>
      <c r="P6" s="5">
        <v>1.12895</v>
      </c>
      <c r="Q6" s="5">
        <v>1.1753</v>
      </c>
      <c r="R6" s="5">
        <v>1.204</v>
      </c>
      <c r="S6" s="5">
        <v>1.2327</v>
      </c>
      <c r="T6" s="5">
        <v>1.21977</v>
      </c>
      <c r="U6" s="5">
        <v>1.20684</v>
      </c>
      <c r="V6" s="1"/>
      <c r="W6" s="2" t="str">
        <f>IF('расчет'!R25&lt;50000,50000,'расчет'!R25)</f>
        <v>155303.7932</v>
      </c>
      <c r="X6" s="2" t="str">
        <f t="shared" si="1"/>
        <v>150000</v>
      </c>
      <c r="Y6" s="2" t="str">
        <f t="shared" si="2"/>
        <v>175000</v>
      </c>
      <c r="Z6" s="2" t="str">
        <f t="shared" si="3"/>
        <v>0.7878482728</v>
      </c>
      <c r="AA6" s="2" t="str">
        <f t="shared" si="4"/>
        <v>0.2121517272</v>
      </c>
      <c r="AB6" s="2" t="str">
        <f>'расчет'!P25</f>
        <v>8.972215942</v>
      </c>
      <c r="AC6" s="2" t="str">
        <f t="shared" ref="AC6:AD6" si="14">AC5</f>
        <v>0</v>
      </c>
      <c r="AD6" s="2" t="str">
        <f t="shared" si="14"/>
        <v>23</v>
      </c>
      <c r="AE6" s="2" t="str">
        <f t="shared" si="6"/>
        <v>8.5</v>
      </c>
      <c r="AF6" s="2" t="str">
        <f t="shared" si="7"/>
        <v>9</v>
      </c>
      <c r="AG6" s="2" t="str">
        <f t="shared" si="8"/>
        <v>0.05556811655</v>
      </c>
      <c r="AH6" s="2" t="str">
        <f t="shared" si="9"/>
        <v>0.9444318834</v>
      </c>
      <c r="AI6" s="2" t="str">
        <f>VLOOKUP(AE6,B4:U50,(X6/25000),FALSE)</f>
        <v>1.2313</v>
      </c>
      <c r="AJ6" s="2" t="str">
        <f>VLOOKUP(AF6,B4:U50,(X6/25000),FALSE)</f>
        <v>1.317</v>
      </c>
      <c r="AK6" s="2" t="str">
        <f>VLOOKUP(AE6,B4:U50,(Y6/25000),FALSE)</f>
        <v>1.382475</v>
      </c>
      <c r="AL6" s="2" t="str">
        <f>VLOOKUP(AF6,B4:U50,(Y6/25000),FALSE)</f>
        <v>1.4364375</v>
      </c>
      <c r="AM6" s="2" t="str">
        <f t="shared" si="10"/>
        <v>1.312237812</v>
      </c>
      <c r="AN6" s="2" t="str">
        <f t="shared" si="11"/>
        <v>1.433438906</v>
      </c>
      <c r="AO6" s="2" t="str">
        <f t="shared" si="12"/>
        <v>1.337950834</v>
      </c>
      <c r="AP6" s="1"/>
      <c r="AQ6" s="1"/>
      <c r="AR6" s="1"/>
      <c r="AS6" s="1"/>
      <c r="AT6" s="1"/>
      <c r="AU6" s="1"/>
      <c r="AV6" s="1"/>
      <c r="AW6" s="1"/>
      <c r="AX6" s="1"/>
      <c r="AY6" s="1"/>
    </row>
    <row r="7" ht="12.75" customHeight="1">
      <c r="A7" s="1"/>
      <c r="B7" s="5">
        <v>1.5</v>
      </c>
      <c r="C7" s="5">
        <v>0.0952</v>
      </c>
      <c r="D7" s="5">
        <v>0.1239</v>
      </c>
      <c r="E7" s="5">
        <v>0.2704</v>
      </c>
      <c r="F7" s="5">
        <v>0.2515</v>
      </c>
      <c r="G7" s="5">
        <v>0.39355</v>
      </c>
      <c r="H7" s="5">
        <v>0.5356</v>
      </c>
      <c r="I7" s="5">
        <v>0.64595</v>
      </c>
      <c r="J7" s="5">
        <v>0.7287625</v>
      </c>
      <c r="K7" s="5">
        <v>0.811575</v>
      </c>
      <c r="L7" s="5">
        <v>0.8943875</v>
      </c>
      <c r="M7" s="5">
        <v>0.9772</v>
      </c>
      <c r="N7" s="5">
        <v>1.069225</v>
      </c>
      <c r="O7" s="5">
        <v>1.16125</v>
      </c>
      <c r="P7" s="5">
        <v>1.1951</v>
      </c>
      <c r="Q7" s="5">
        <v>1.22895</v>
      </c>
      <c r="R7" s="5">
        <v>1.230925</v>
      </c>
      <c r="S7" s="5">
        <v>1.2329</v>
      </c>
      <c r="T7" s="5">
        <v>1.25018</v>
      </c>
      <c r="U7" s="5">
        <v>1.26746</v>
      </c>
      <c r="V7" s="1"/>
      <c r="W7" s="2" t="str">
        <f>IF('расчет'!R26&lt;50000,50000,'расчет'!R26)</f>
        <v>152048.384</v>
      </c>
      <c r="X7" s="2" t="str">
        <f t="shared" si="1"/>
        <v>150000</v>
      </c>
      <c r="Y7" s="2" t="str">
        <f t="shared" si="2"/>
        <v>175000</v>
      </c>
      <c r="Z7" s="2" t="str">
        <f t="shared" si="3"/>
        <v>0.9180646404</v>
      </c>
      <c r="AA7" s="2" t="str">
        <f t="shared" si="4"/>
        <v>0.08193535957</v>
      </c>
      <c r="AB7" s="2" t="str">
        <f>'расчет'!P26</f>
        <v>9.459475009</v>
      </c>
      <c r="AC7" s="2" t="str">
        <f t="shared" ref="AC7:AD7" si="15">AC6</f>
        <v>0</v>
      </c>
      <c r="AD7" s="2" t="str">
        <f t="shared" si="15"/>
        <v>23</v>
      </c>
      <c r="AE7" s="2" t="str">
        <f t="shared" si="6"/>
        <v>9</v>
      </c>
      <c r="AF7" s="2" t="str">
        <f t="shared" si="7"/>
        <v>9.5</v>
      </c>
      <c r="AG7" s="2" t="str">
        <f t="shared" si="8"/>
        <v>0.08104998293</v>
      </c>
      <c r="AH7" s="2" t="str">
        <f t="shared" si="9"/>
        <v>0.9189500171</v>
      </c>
      <c r="AI7" s="2" t="str">
        <f>VLOOKUP(AE7,B4:U50,(X7/25000),FALSE)</f>
        <v>1.317</v>
      </c>
      <c r="AJ7" s="2" t="str">
        <f>VLOOKUP(AF7,B4:U50,(X7/25000),FALSE)</f>
        <v>1.4021</v>
      </c>
      <c r="AK7" s="2" t="str">
        <f>VLOOKUP(AE7,B4:U50,(Y7/25000),FALSE)</f>
        <v>1.4364375</v>
      </c>
      <c r="AL7" s="2" t="str">
        <f>VLOOKUP(AF7,B4:U50,(Y7/25000),FALSE)</f>
        <v>1.4904</v>
      </c>
      <c r="AM7" s="2" t="str">
        <f t="shared" si="10"/>
        <v>1.395202646</v>
      </c>
      <c r="AN7" s="2" t="str">
        <f t="shared" si="11"/>
        <v>1.48602634</v>
      </c>
      <c r="AO7" s="2" t="str">
        <f t="shared" si="12"/>
        <v>1.402644318</v>
      </c>
      <c r="AP7" s="1"/>
      <c r="AQ7" s="1"/>
      <c r="AR7" s="1"/>
      <c r="AS7" s="1"/>
      <c r="AT7" s="1"/>
      <c r="AU7" s="1"/>
      <c r="AV7" s="1"/>
      <c r="AW7" s="1"/>
      <c r="AX7" s="1"/>
      <c r="AY7" s="1"/>
    </row>
    <row r="8" ht="12.75" customHeight="1">
      <c r="A8" s="1"/>
      <c r="B8" s="5">
        <v>2.0</v>
      </c>
      <c r="C8" s="5">
        <v>0.1207</v>
      </c>
      <c r="D8" s="5">
        <v>0.2482</v>
      </c>
      <c r="E8" s="5">
        <v>0.2857</v>
      </c>
      <c r="F8" s="5">
        <v>0.3679</v>
      </c>
      <c r="G8" s="5">
        <v>0.50795</v>
      </c>
      <c r="H8" s="5">
        <v>0.648</v>
      </c>
      <c r="I8" s="5">
        <v>0.727375</v>
      </c>
      <c r="J8" s="5">
        <v>0.82020625</v>
      </c>
      <c r="K8" s="5">
        <v>0.9130375</v>
      </c>
      <c r="L8" s="5">
        <v>1.00586875</v>
      </c>
      <c r="M8" s="5">
        <v>1.0987</v>
      </c>
      <c r="N8" s="5">
        <v>1.1693</v>
      </c>
      <c r="O8" s="5">
        <v>1.2399</v>
      </c>
      <c r="P8" s="5">
        <v>1.26125</v>
      </c>
      <c r="Q8" s="5">
        <v>1.2826</v>
      </c>
      <c r="R8" s="5">
        <v>1.30595</v>
      </c>
      <c r="S8" s="5">
        <v>1.3293</v>
      </c>
      <c r="T8" s="5">
        <v>1.32869</v>
      </c>
      <c r="U8" s="5">
        <v>1.32808</v>
      </c>
      <c r="V8" s="1"/>
      <c r="W8" s="2" t="str">
        <f>IF('расчет'!R27&lt;50000,50000,'расчет'!R27)</f>
        <v>148436.2342</v>
      </c>
      <c r="X8" s="2" t="str">
        <f t="shared" si="1"/>
        <v>125000</v>
      </c>
      <c r="Y8" s="2" t="str">
        <f t="shared" si="2"/>
        <v>150000</v>
      </c>
      <c r="Z8" s="2" t="str">
        <f t="shared" si="3"/>
        <v>0.06255063385</v>
      </c>
      <c r="AA8" s="2" t="str">
        <f t="shared" si="4"/>
        <v>0.9374493661</v>
      </c>
      <c r="AB8" s="2" t="str">
        <f>'расчет'!P27</f>
        <v>9.880167544</v>
      </c>
      <c r="AC8" s="2" t="str">
        <f t="shared" ref="AC8:AD8" si="16">AC7</f>
        <v>0</v>
      </c>
      <c r="AD8" s="2" t="str">
        <f t="shared" si="16"/>
        <v>23</v>
      </c>
      <c r="AE8" s="2" t="str">
        <f t="shared" si="6"/>
        <v>9.5</v>
      </c>
      <c r="AF8" s="2" t="str">
        <f t="shared" si="7"/>
        <v>10</v>
      </c>
      <c r="AG8" s="2" t="str">
        <f t="shared" si="8"/>
        <v>0.2396649114</v>
      </c>
      <c r="AH8" s="2" t="str">
        <f t="shared" si="9"/>
        <v>0.7603350886</v>
      </c>
      <c r="AI8" s="2" t="str">
        <f>VLOOKUP(AE8,B4:U50,(X8/25000),FALSE)</f>
        <v>1.2348</v>
      </c>
      <c r="AJ8" s="2" t="str">
        <f>VLOOKUP(AF8,B4:U50,(X8/25000),FALSE)</f>
        <v>1.3378</v>
      </c>
      <c r="AK8" s="2" t="str">
        <f>VLOOKUP(AE8,B4:U50,(Y8/25000),FALSE)</f>
        <v>1.4021</v>
      </c>
      <c r="AL8" s="2" t="str">
        <f>VLOOKUP(AF8,B4:U50,(Y8/25000),FALSE)</f>
        <v>1.4872</v>
      </c>
      <c r="AM8" s="2" t="str">
        <f t="shared" si="10"/>
        <v>1.313114514</v>
      </c>
      <c r="AN8" s="2" t="str">
        <f t="shared" si="11"/>
        <v>1.466804516</v>
      </c>
      <c r="AO8" s="2" t="str">
        <f t="shared" si="12"/>
        <v>1.457191109</v>
      </c>
      <c r="AP8" s="1"/>
      <c r="AQ8" s="1"/>
      <c r="AR8" s="1"/>
      <c r="AS8" s="1"/>
      <c r="AT8" s="1"/>
      <c r="AU8" s="1"/>
      <c r="AV8" s="1"/>
      <c r="AW8" s="1"/>
      <c r="AX8" s="1"/>
      <c r="AY8" s="1"/>
    </row>
    <row r="9" ht="12.75" customHeight="1">
      <c r="A9" s="1"/>
      <c r="B9" s="5">
        <v>2.5</v>
      </c>
      <c r="C9" s="5">
        <v>0.232</v>
      </c>
      <c r="D9" s="5">
        <v>0.2772</v>
      </c>
      <c r="E9" s="5">
        <v>0.3267</v>
      </c>
      <c r="F9" s="5">
        <v>0.4423</v>
      </c>
      <c r="G9" s="5">
        <v>0.6184</v>
      </c>
      <c r="H9" s="5">
        <v>0.70965</v>
      </c>
      <c r="I9" s="5">
        <v>0.8088</v>
      </c>
      <c r="J9" s="5">
        <v>0.903275</v>
      </c>
      <c r="K9" s="5">
        <v>0.99775</v>
      </c>
      <c r="L9" s="5">
        <v>1.092225</v>
      </c>
      <c r="M9" s="5">
        <v>1.1867</v>
      </c>
      <c r="N9" s="5">
        <v>1.252625</v>
      </c>
      <c r="O9" s="5">
        <v>1.31855</v>
      </c>
      <c r="P9" s="5">
        <v>1.3274</v>
      </c>
      <c r="Q9" s="5">
        <v>1.33625</v>
      </c>
      <c r="R9" s="5">
        <v>1.378125</v>
      </c>
      <c r="S9" s="5">
        <v>1.42</v>
      </c>
      <c r="T9" s="5">
        <v>1.40435</v>
      </c>
      <c r="U9" s="5">
        <v>1.3887</v>
      </c>
      <c r="V9" s="1"/>
      <c r="W9" s="2" t="str">
        <f>IF('расчет'!R28&lt;50000,50000,'расчет'!R28)</f>
        <v>144372.9701</v>
      </c>
      <c r="X9" s="2" t="str">
        <f t="shared" si="1"/>
        <v>125000</v>
      </c>
      <c r="Y9" s="2" t="str">
        <f t="shared" si="2"/>
        <v>150000</v>
      </c>
      <c r="Z9" s="2" t="str">
        <f t="shared" si="3"/>
        <v>0.2250811965</v>
      </c>
      <c r="AA9" s="2" t="str">
        <f t="shared" si="4"/>
        <v>0.7749188035</v>
      </c>
      <c r="AB9" s="2" t="str">
        <f>'расчет'!P28</f>
        <v>10.2479629</v>
      </c>
      <c r="AC9" s="2" t="str">
        <f t="shared" ref="AC9:AD9" si="17">AC8</f>
        <v>0</v>
      </c>
      <c r="AD9" s="2" t="str">
        <f t="shared" si="17"/>
        <v>23</v>
      </c>
      <c r="AE9" s="2" t="str">
        <f t="shared" si="6"/>
        <v>10</v>
      </c>
      <c r="AF9" s="2" t="str">
        <f t="shared" si="7"/>
        <v>10.5</v>
      </c>
      <c r="AG9" s="2" t="str">
        <f t="shared" si="8"/>
        <v>0.5040741949</v>
      </c>
      <c r="AH9" s="2" t="str">
        <f t="shared" si="9"/>
        <v>0.4959258051</v>
      </c>
      <c r="AI9" s="2" t="str">
        <f>VLOOKUP(AE9,B4:U50,(X9/25000),FALSE)</f>
        <v>1.3378</v>
      </c>
      <c r="AJ9" s="2" t="str">
        <f>VLOOKUP(AF9,B4:U50,(X9/25000),FALSE)</f>
        <v>1.4128</v>
      </c>
      <c r="AK9" s="2" t="str">
        <f>VLOOKUP(AE9,B4:U50,(Y9/25000),FALSE)</f>
        <v>1.4872</v>
      </c>
      <c r="AL9" s="2" t="str">
        <f>VLOOKUP(AF9,B4:U50,(Y9/25000),FALSE)</f>
        <v>1.5723</v>
      </c>
      <c r="AM9" s="2" t="str">
        <f t="shared" si="10"/>
        <v>1.374994435</v>
      </c>
      <c r="AN9" s="2" t="str">
        <f t="shared" si="11"/>
        <v>1.529403286</v>
      </c>
      <c r="AO9" s="2" t="str">
        <f t="shared" si="12"/>
        <v>1.494648757</v>
      </c>
      <c r="AP9" s="1"/>
      <c r="AQ9" s="1"/>
      <c r="AR9" s="1"/>
      <c r="AS9" s="1"/>
      <c r="AT9" s="1"/>
      <c r="AU9" s="1"/>
      <c r="AV9" s="1"/>
      <c r="AW9" s="1"/>
      <c r="AX9" s="1"/>
      <c r="AY9" s="1"/>
    </row>
    <row r="10" ht="12.75" customHeight="1">
      <c r="A10" s="1"/>
      <c r="B10" s="5">
        <v>3.0</v>
      </c>
      <c r="C10" s="5">
        <v>0.2401</v>
      </c>
      <c r="D10" s="5">
        <v>0.3432</v>
      </c>
      <c r="E10" s="5">
        <v>0.4723</v>
      </c>
      <c r="F10" s="5">
        <v>0.4804</v>
      </c>
      <c r="G10" s="5">
        <v>0.62585</v>
      </c>
      <c r="H10" s="5">
        <v>0.7713</v>
      </c>
      <c r="I10" s="5">
        <v>0.9147225</v>
      </c>
      <c r="J10" s="5">
        <v>0.98643375</v>
      </c>
      <c r="K10" s="5">
        <v>1.058145</v>
      </c>
      <c r="L10" s="5">
        <v>1.150964167</v>
      </c>
      <c r="M10" s="5">
        <v>1.243783333</v>
      </c>
      <c r="N10" s="5">
        <v>1.320491667</v>
      </c>
      <c r="O10" s="5">
        <v>1.3972</v>
      </c>
      <c r="P10" s="5">
        <v>1.39355</v>
      </c>
      <c r="Q10" s="5">
        <v>1.3899</v>
      </c>
      <c r="R10" s="5">
        <v>1.4054</v>
      </c>
      <c r="S10" s="5">
        <v>1.4209</v>
      </c>
      <c r="T10" s="5">
        <v>1.4267625</v>
      </c>
      <c r="U10" s="5">
        <v>1.432625</v>
      </c>
      <c r="V10" s="1"/>
      <c r="W10" s="2" t="str">
        <f>IF('расчет'!R29&lt;50000,50000,'расчет'!R29)</f>
        <v>139766.3665</v>
      </c>
      <c r="X10" s="2" t="str">
        <f t="shared" si="1"/>
        <v>125000</v>
      </c>
      <c r="Y10" s="2" t="str">
        <f t="shared" si="2"/>
        <v>150000</v>
      </c>
      <c r="Z10" s="2" t="str">
        <f t="shared" si="3"/>
        <v>0.4093453385</v>
      </c>
      <c r="AA10" s="2" t="str">
        <f t="shared" si="4"/>
        <v>0.5906546615</v>
      </c>
      <c r="AB10" s="2" t="str">
        <f>'расчет'!P29</f>
        <v>10.5809717</v>
      </c>
      <c r="AC10" s="2" t="str">
        <f t="shared" ref="AC10:AD10" si="18">AC9</f>
        <v>0</v>
      </c>
      <c r="AD10" s="2" t="str">
        <f t="shared" si="18"/>
        <v>23</v>
      </c>
      <c r="AE10" s="2" t="str">
        <f t="shared" si="6"/>
        <v>10.5</v>
      </c>
      <c r="AF10" s="2" t="str">
        <f t="shared" si="7"/>
        <v>11</v>
      </c>
      <c r="AG10" s="2" t="str">
        <f t="shared" si="8"/>
        <v>0.8380565967</v>
      </c>
      <c r="AH10" s="2" t="str">
        <f t="shared" si="9"/>
        <v>0.1619434033</v>
      </c>
      <c r="AI10" s="2" t="str">
        <f>VLOOKUP(AE10,B4:U50,(X10/25000),FALSE)</f>
        <v>1.4128</v>
      </c>
      <c r="AJ10" s="2" t="str">
        <f>VLOOKUP(AF10,B4:U50,(X10/25000),FALSE)</f>
        <v>1.44665</v>
      </c>
      <c r="AK10" s="2" t="str">
        <f>VLOOKUP(AE10,B4:U50,(Y10/25000),FALSE)</f>
        <v>1.5723</v>
      </c>
      <c r="AL10" s="2" t="str">
        <f>VLOOKUP(AF10,B4:U50,(Y10/25000),FALSE)</f>
        <v>1.6235</v>
      </c>
      <c r="AM10" s="2" t="str">
        <f t="shared" si="10"/>
        <v>1.418281784</v>
      </c>
      <c r="AN10" s="2" t="str">
        <f t="shared" si="11"/>
        <v>1.580591502</v>
      </c>
      <c r="AO10" s="2" t="str">
        <f t="shared" si="12"/>
        <v>1.514150776</v>
      </c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ht="12.75" customHeight="1">
      <c r="A11" s="1"/>
      <c r="B11" s="5">
        <v>3.5</v>
      </c>
      <c r="C11" s="5">
        <v>0.325</v>
      </c>
      <c r="D11" s="5">
        <v>0.4039</v>
      </c>
      <c r="E11" s="5">
        <v>0.459</v>
      </c>
      <c r="F11" s="5">
        <v>0.5678</v>
      </c>
      <c r="G11" s="5">
        <v>0.700375</v>
      </c>
      <c r="H11" s="5">
        <v>0.83295</v>
      </c>
      <c r="I11" s="5">
        <v>0.975745</v>
      </c>
      <c r="J11" s="5">
        <v>1.0471425</v>
      </c>
      <c r="K11" s="5">
        <v>1.11854</v>
      </c>
      <c r="L11" s="5">
        <v>1.209703333</v>
      </c>
      <c r="M11" s="5">
        <v>1.300866667</v>
      </c>
      <c r="N11" s="5">
        <v>1.3746</v>
      </c>
      <c r="O11" s="5">
        <v>1.448333333</v>
      </c>
      <c r="P11" s="5">
        <v>1.443716667</v>
      </c>
      <c r="Q11" s="5">
        <v>1.4391</v>
      </c>
      <c r="R11" s="5">
        <v>1.4555</v>
      </c>
      <c r="S11" s="5">
        <v>1.4719</v>
      </c>
      <c r="T11" s="5">
        <v>1.474225</v>
      </c>
      <c r="U11" s="5">
        <v>1.47655</v>
      </c>
      <c r="V11" s="1"/>
      <c r="W11" s="2" t="str">
        <f>IF('расчет'!R30&lt;50000,50000,'расчет'!R30)</f>
        <v>134527.6688</v>
      </c>
      <c r="X11" s="2" t="str">
        <f t="shared" si="1"/>
        <v>125000</v>
      </c>
      <c r="Y11" s="2" t="str">
        <f t="shared" si="2"/>
        <v>150000</v>
      </c>
      <c r="Z11" s="2" t="str">
        <f t="shared" si="3"/>
        <v>0.6188932465</v>
      </c>
      <c r="AA11" s="2" t="str">
        <f t="shared" si="4"/>
        <v>0.3811067535</v>
      </c>
      <c r="AB11" s="2" t="str">
        <f>'расчет'!P30</f>
        <v>10.90349584</v>
      </c>
      <c r="AC11" s="2" t="str">
        <f t="shared" ref="AC11:AD11" si="19">AC10</f>
        <v>0</v>
      </c>
      <c r="AD11" s="2" t="str">
        <f t="shared" si="19"/>
        <v>23</v>
      </c>
      <c r="AE11" s="2" t="str">
        <f t="shared" si="6"/>
        <v>10.5</v>
      </c>
      <c r="AF11" s="2" t="str">
        <f t="shared" si="7"/>
        <v>11</v>
      </c>
      <c r="AG11" s="2" t="str">
        <f t="shared" si="8"/>
        <v>0.1930083163</v>
      </c>
      <c r="AH11" s="2" t="str">
        <f t="shared" si="9"/>
        <v>0.8069916837</v>
      </c>
      <c r="AI11" s="2" t="str">
        <f>VLOOKUP(AE11,B4:U50,(X11/25000),FALSE)</f>
        <v>1.4128</v>
      </c>
      <c r="AJ11" s="2" t="str">
        <f>VLOOKUP(AF11,B4:U50,(X11/25000),FALSE)</f>
        <v>1.44665</v>
      </c>
      <c r="AK11" s="2" t="str">
        <f>VLOOKUP(AE11,B4:U50,(Y11/25000),FALSE)</f>
        <v>1.5723</v>
      </c>
      <c r="AL11" s="2" t="str">
        <f>VLOOKUP(AF11,B4:U50,(Y11/25000),FALSE)</f>
        <v>1.6235</v>
      </c>
      <c r="AM11" s="2" t="str">
        <f t="shared" si="10"/>
        <v>1.440116668</v>
      </c>
      <c r="AN11" s="2" t="str">
        <f t="shared" si="11"/>
        <v>1.613617974</v>
      </c>
      <c r="AO11" s="2" t="str">
        <f t="shared" si="12"/>
        <v>1.506239188</v>
      </c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ht="12.75" customHeight="1">
      <c r="A12" s="1"/>
      <c r="B12" s="5">
        <v>4.0</v>
      </c>
      <c r="C12" s="5">
        <v>0.3948</v>
      </c>
      <c r="D12" s="5">
        <v>0.4605</v>
      </c>
      <c r="E12" s="5">
        <v>0.5749</v>
      </c>
      <c r="F12" s="5">
        <v>0.7544</v>
      </c>
      <c r="G12" s="5">
        <v>0.8245</v>
      </c>
      <c r="H12" s="5">
        <v>0.8946</v>
      </c>
      <c r="I12" s="5">
        <v>1.0367675</v>
      </c>
      <c r="J12" s="5">
        <v>1.10785125</v>
      </c>
      <c r="K12" s="5">
        <v>1.178935</v>
      </c>
      <c r="L12" s="5">
        <v>1.2684425</v>
      </c>
      <c r="M12" s="5">
        <v>1.35795</v>
      </c>
      <c r="N12" s="5">
        <v>1.428708333</v>
      </c>
      <c r="O12" s="5">
        <v>1.499466667</v>
      </c>
      <c r="P12" s="5">
        <v>1.491358333</v>
      </c>
      <c r="Q12" s="5">
        <v>1.48325</v>
      </c>
      <c r="R12" s="5">
        <v>1.501725</v>
      </c>
      <c r="S12" s="5">
        <v>1.5202</v>
      </c>
      <c r="T12" s="5">
        <v>1.5203375</v>
      </c>
      <c r="U12" s="5">
        <v>1.520475</v>
      </c>
      <c r="V12" s="1"/>
      <c r="W12" s="2" t="str">
        <f>IF('расчет'!R31&lt;50000,50000,'расчет'!R31)</f>
        <v>128573.0727</v>
      </c>
      <c r="X12" s="2" t="str">
        <f t="shared" si="1"/>
        <v>125000</v>
      </c>
      <c r="Y12" s="2" t="str">
        <f t="shared" si="2"/>
        <v>150000</v>
      </c>
      <c r="Z12" s="2" t="str">
        <f t="shared" si="3"/>
        <v>0.8570770934</v>
      </c>
      <c r="AA12" s="2" t="str">
        <f t="shared" si="4"/>
        <v>0.1429229066</v>
      </c>
      <c r="AB12" s="2" t="str">
        <f>'расчет'!P31</f>
        <v>11.24863784</v>
      </c>
      <c r="AC12" s="2" t="str">
        <f t="shared" ref="AC12:AD12" si="20">AC11</f>
        <v>0</v>
      </c>
      <c r="AD12" s="2" t="str">
        <f t="shared" si="20"/>
        <v>23</v>
      </c>
      <c r="AE12" s="2" t="str">
        <f t="shared" si="6"/>
        <v>11</v>
      </c>
      <c r="AF12" s="2" t="str">
        <f t="shared" si="7"/>
        <v>11.5</v>
      </c>
      <c r="AG12" s="2" t="str">
        <f t="shared" si="8"/>
        <v>0.5027243149</v>
      </c>
      <c r="AH12" s="2" t="str">
        <f t="shared" si="9"/>
        <v>0.4972756851</v>
      </c>
      <c r="AI12" s="2" t="str">
        <f>VLOOKUP(AE12,B4:U50,(X12/25000),FALSE)</f>
        <v>1.44665</v>
      </c>
      <c r="AJ12" s="2" t="str">
        <f>VLOOKUP(AF12,B4:U50,(X12/25000),FALSE)</f>
        <v>1.50885</v>
      </c>
      <c r="AK12" s="2" t="str">
        <f>VLOOKUP(AE12,B4:U50,(Y12/25000),FALSE)</f>
        <v>1.6235</v>
      </c>
      <c r="AL12" s="2" t="str">
        <f>VLOOKUP(AF12,B4:U50,(Y12/25000),FALSE)</f>
        <v>1.6747</v>
      </c>
      <c r="AM12" s="2" t="str">
        <f t="shared" si="10"/>
        <v>1.477580548</v>
      </c>
      <c r="AN12" s="2" t="str">
        <f t="shared" si="11"/>
        <v>1.648960515</v>
      </c>
      <c r="AO12" s="2" t="str">
        <f t="shared" si="12"/>
        <v>1.502074671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ht="12.75" customHeight="1">
      <c r="A13" s="1"/>
      <c r="B13" s="5">
        <v>4.5</v>
      </c>
      <c r="C13" s="5">
        <v>0.4336</v>
      </c>
      <c r="D13" s="5">
        <v>0.5522</v>
      </c>
      <c r="E13" s="5">
        <v>0.5693</v>
      </c>
      <c r="F13" s="5">
        <v>0.7776</v>
      </c>
      <c r="G13" s="5">
        <v>0.8598</v>
      </c>
      <c r="H13" s="5">
        <v>0.942</v>
      </c>
      <c r="I13" s="5">
        <v>1.090665</v>
      </c>
      <c r="J13" s="5">
        <v>1.1649975</v>
      </c>
      <c r="K13" s="5">
        <v>1.23933</v>
      </c>
      <c r="L13" s="5">
        <v>1.327181667</v>
      </c>
      <c r="M13" s="5">
        <v>1.415033333</v>
      </c>
      <c r="N13" s="5">
        <v>1.482816667</v>
      </c>
      <c r="O13" s="5">
        <v>1.5506</v>
      </c>
      <c r="P13" s="5">
        <v>1.539</v>
      </c>
      <c r="Q13" s="5">
        <v>1.5274</v>
      </c>
      <c r="R13" s="5">
        <v>1.53465</v>
      </c>
      <c r="S13" s="5">
        <v>1.5419</v>
      </c>
      <c r="T13" s="5">
        <v>1.55315</v>
      </c>
      <c r="U13" s="5">
        <v>1.5644</v>
      </c>
      <c r="V13" s="1"/>
      <c r="W13" s="2" t="str">
        <f>IF('расчет'!R32&lt;50000,50000,'расчет'!R32)</f>
        <v>121825.3118</v>
      </c>
      <c r="X13" s="2" t="str">
        <f t="shared" si="1"/>
        <v>100000</v>
      </c>
      <c r="Y13" s="2" t="str">
        <f t="shared" si="2"/>
        <v>125000</v>
      </c>
      <c r="Z13" s="2" t="str">
        <f t="shared" si="3"/>
        <v>0.1269875283</v>
      </c>
      <c r="AA13" s="2" t="str">
        <f t="shared" si="4"/>
        <v>0.8730124717</v>
      </c>
      <c r="AB13" s="2" t="str">
        <f>'расчет'!P32</f>
        <v>11.66229685</v>
      </c>
      <c r="AC13" s="2" t="str">
        <f t="shared" ref="AC13:AD13" si="21">AC12</f>
        <v>0</v>
      </c>
      <c r="AD13" s="2" t="str">
        <f t="shared" si="21"/>
        <v>23</v>
      </c>
      <c r="AE13" s="2" t="str">
        <f t="shared" si="6"/>
        <v>11.5</v>
      </c>
      <c r="AF13" s="2" t="str">
        <f t="shared" si="7"/>
        <v>12</v>
      </c>
      <c r="AG13" s="2" t="str">
        <f t="shared" si="8"/>
        <v>0.6754062992</v>
      </c>
      <c r="AH13" s="2" t="str">
        <f t="shared" si="9"/>
        <v>0.3245937008</v>
      </c>
      <c r="AI13" s="2" t="str">
        <f>VLOOKUP(AE13,B4:U50,(X13/25000),FALSE)</f>
        <v>1.343</v>
      </c>
      <c r="AJ13" s="2" t="str">
        <f>VLOOKUP(AF13,B4:U50,(X13/25000),FALSE)</f>
        <v>1.4162</v>
      </c>
      <c r="AK13" s="2" t="str">
        <f>VLOOKUP(AE13,B4:U50,(Y13/25000),FALSE)</f>
        <v>1.50885</v>
      </c>
      <c r="AL13" s="2" t="str">
        <f>VLOOKUP(AF13,B4:U50,(Y13/25000),FALSE)</f>
        <v>1.6146</v>
      </c>
      <c r="AM13" s="2" t="str">
        <f t="shared" si="10"/>
        <v>1.366760259</v>
      </c>
      <c r="AN13" s="2" t="str">
        <f t="shared" si="11"/>
        <v>1.543175784</v>
      </c>
      <c r="AO13" s="2" t="str">
        <f t="shared" si="12"/>
        <v>1.520773212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ht="12.75" customHeight="1">
      <c r="A14" s="1"/>
      <c r="B14" s="5">
        <v>5.0</v>
      </c>
      <c r="C14" s="5">
        <v>0.5065</v>
      </c>
      <c r="D14" s="5">
        <v>0.5704</v>
      </c>
      <c r="E14" s="5">
        <v>0.655</v>
      </c>
      <c r="F14" s="5">
        <v>0.8008</v>
      </c>
      <c r="G14" s="5">
        <v>0.8951</v>
      </c>
      <c r="H14" s="5">
        <v>0.9894</v>
      </c>
      <c r="I14" s="5">
        <v>1.1445625</v>
      </c>
      <c r="J14" s="5">
        <v>1.22214375</v>
      </c>
      <c r="K14" s="5">
        <v>1.299725</v>
      </c>
      <c r="L14" s="5">
        <v>1.385920833</v>
      </c>
      <c r="M14" s="5">
        <v>1.472116667</v>
      </c>
      <c r="N14" s="5">
        <v>1.500308333</v>
      </c>
      <c r="O14" s="5">
        <v>1.5285</v>
      </c>
      <c r="P14" s="5">
        <v>1.5522</v>
      </c>
      <c r="Q14" s="5">
        <v>1.5759</v>
      </c>
      <c r="R14" s="5">
        <v>1.595</v>
      </c>
      <c r="S14" s="5">
        <v>1.6141</v>
      </c>
      <c r="T14" s="5">
        <v>1.602</v>
      </c>
      <c r="U14" s="5">
        <v>1.5899</v>
      </c>
      <c r="V14" s="1"/>
      <c r="W14" s="2" t="str">
        <f>IF('расчет'!R33&lt;50000,50000,'расчет'!R33)</f>
        <v>114215.2829</v>
      </c>
      <c r="X14" s="2" t="str">
        <f t="shared" si="1"/>
        <v>100000</v>
      </c>
      <c r="Y14" s="2" t="str">
        <f t="shared" si="2"/>
        <v>125000</v>
      </c>
      <c r="Z14" s="2" t="str">
        <f t="shared" si="3"/>
        <v>0.4313886844</v>
      </c>
      <c r="AA14" s="2" t="str">
        <f t="shared" si="4"/>
        <v>0.5686113156</v>
      </c>
      <c r="AB14" s="2" t="str">
        <f>'расчет'!P33</f>
        <v>12.20946957</v>
      </c>
      <c r="AC14" s="2" t="str">
        <f t="shared" ref="AC14:AD14" si="22">AC13</f>
        <v>0</v>
      </c>
      <c r="AD14" s="2" t="str">
        <f t="shared" si="22"/>
        <v>23</v>
      </c>
      <c r="AE14" s="2" t="str">
        <f t="shared" si="6"/>
        <v>12</v>
      </c>
      <c r="AF14" s="2" t="str">
        <f t="shared" si="7"/>
        <v>12.5</v>
      </c>
      <c r="AG14" s="2" t="str">
        <f t="shared" si="8"/>
        <v>0.5810608514</v>
      </c>
      <c r="AH14" s="2" t="str">
        <f t="shared" si="9"/>
        <v>0.4189391486</v>
      </c>
      <c r="AI14" s="2" t="str">
        <f>VLOOKUP(AE14,B4:U50,(X14/25000),FALSE)</f>
        <v>1.4162</v>
      </c>
      <c r="AJ14" s="2" t="str">
        <f>VLOOKUP(AF14,B4:U50,(X14/25000),FALSE)</f>
        <v>1.4905</v>
      </c>
      <c r="AK14" s="2" t="str">
        <f>VLOOKUP(AE14,B4:U50,(Y14/25000),FALSE)</f>
        <v>1.6146</v>
      </c>
      <c r="AL14" s="2" t="str">
        <f>VLOOKUP(AF14,B4:U50,(Y14/25000),FALSE)</f>
        <v>1.5931</v>
      </c>
      <c r="AM14" s="2" t="str">
        <f t="shared" si="10"/>
        <v>1.447327179</v>
      </c>
      <c r="AN14" s="2" t="str">
        <f t="shared" si="11"/>
        <v>1.605592808</v>
      </c>
      <c r="AO14" s="2" t="str">
        <f t="shared" si="12"/>
        <v>1.537318807</v>
      </c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ht="12.75" customHeight="1">
      <c r="A15" s="1"/>
      <c r="B15" s="5">
        <v>5.5</v>
      </c>
      <c r="C15" s="5">
        <v>0.5385</v>
      </c>
      <c r="D15" s="5">
        <v>0.653</v>
      </c>
      <c r="E15" s="5">
        <v>0.7385</v>
      </c>
      <c r="F15" s="5">
        <v>0.824</v>
      </c>
      <c r="G15" s="5">
        <v>0.9582</v>
      </c>
      <c r="H15" s="5">
        <v>1.0587</v>
      </c>
      <c r="I15" s="5">
        <v>1.20941</v>
      </c>
      <c r="J15" s="5">
        <v>1.284765</v>
      </c>
      <c r="K15" s="5">
        <v>1.36012</v>
      </c>
      <c r="L15" s="5">
        <v>1.44466</v>
      </c>
      <c r="M15" s="5">
        <v>1.5292</v>
      </c>
      <c r="N15" s="5">
        <v>1.548575</v>
      </c>
      <c r="O15" s="5">
        <v>1.56795</v>
      </c>
      <c r="P15" s="5">
        <v>1.584425</v>
      </c>
      <c r="Q15" s="5">
        <v>1.6009</v>
      </c>
      <c r="R15" s="5">
        <v>1.60455</v>
      </c>
      <c r="S15" s="5">
        <v>1.6082</v>
      </c>
      <c r="T15" s="5">
        <v>1.61785</v>
      </c>
      <c r="U15" s="5">
        <v>1.6275</v>
      </c>
      <c r="V15" s="1"/>
      <c r="W15" s="2" t="str">
        <f>IF('расчет'!R34&lt;50000,50000,'расчет'!R34)</f>
        <v>105683.6102</v>
      </c>
      <c r="X15" s="2" t="str">
        <f t="shared" si="1"/>
        <v>100000</v>
      </c>
      <c r="Y15" s="2" t="str">
        <f t="shared" si="2"/>
        <v>125000</v>
      </c>
      <c r="Z15" s="2" t="str">
        <f t="shared" si="3"/>
        <v>0.7726555915</v>
      </c>
      <c r="AA15" s="2" t="str">
        <f t="shared" si="4"/>
        <v>0.2273444085</v>
      </c>
      <c r="AB15" s="2" t="str">
        <f>'расчет'!P34</f>
        <v>12.98450331</v>
      </c>
      <c r="AC15" s="2" t="str">
        <f t="shared" ref="AC15:AD15" si="23">AC14</f>
        <v>0</v>
      </c>
      <c r="AD15" s="2" t="str">
        <f t="shared" si="23"/>
        <v>23</v>
      </c>
      <c r="AE15" s="2" t="str">
        <f t="shared" si="6"/>
        <v>12.5</v>
      </c>
      <c r="AF15" s="2" t="str">
        <f t="shared" si="7"/>
        <v>13</v>
      </c>
      <c r="AG15" s="2" t="str">
        <f t="shared" si="8"/>
        <v>0.03099337527</v>
      </c>
      <c r="AH15" s="2" t="str">
        <f t="shared" si="9"/>
        <v>0.9690066247</v>
      </c>
      <c r="AI15" s="2" t="str">
        <f>VLOOKUP(AE15,B4:U50,(X15/25000),FALSE)</f>
        <v>1.4905</v>
      </c>
      <c r="AJ15" s="2" t="str">
        <f>VLOOKUP(AF15,B4:U50,(X15/25000),FALSE)</f>
        <v>1.5737</v>
      </c>
      <c r="AK15" s="2" t="str">
        <f>VLOOKUP(AE15,B4:U50,(Y15/25000),FALSE)</f>
        <v>1.5931</v>
      </c>
      <c r="AL15" s="2" t="str">
        <f>VLOOKUP(AF15,B4:U50,(Y15/25000),FALSE)</f>
        <v>1.5547</v>
      </c>
      <c r="AM15" s="2" t="str">
        <f t="shared" si="10"/>
        <v>1.571121351</v>
      </c>
      <c r="AN15" s="2" t="str">
        <f t="shared" si="11"/>
        <v>1.555890146</v>
      </c>
      <c r="AO15" s="2" t="str">
        <f t="shared" si="12"/>
        <v>1.567658622</v>
      </c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ht="12.75" customHeight="1">
      <c r="A16" s="1"/>
      <c r="B16" s="5">
        <v>6.0</v>
      </c>
      <c r="C16" s="5">
        <v>0.577533333</v>
      </c>
      <c r="D16" s="5">
        <v>0.6708</v>
      </c>
      <c r="E16" s="5">
        <v>0.785</v>
      </c>
      <c r="F16" s="5">
        <v>0.8992</v>
      </c>
      <c r="G16" s="5">
        <v>1.00593125</v>
      </c>
      <c r="H16" s="5">
        <v>1.1126625</v>
      </c>
      <c r="I16" s="5">
        <v>1.26658875</v>
      </c>
      <c r="J16" s="5">
        <v>1.343551875</v>
      </c>
      <c r="K16" s="5">
        <v>1.420515</v>
      </c>
      <c r="L16" s="5">
        <v>1.4673575</v>
      </c>
      <c r="M16" s="5">
        <v>1.5142</v>
      </c>
      <c r="N16" s="5">
        <v>1.5608</v>
      </c>
      <c r="O16" s="5">
        <v>1.6074</v>
      </c>
      <c r="P16" s="5">
        <v>1.62645</v>
      </c>
      <c r="Q16" s="5">
        <v>1.6455</v>
      </c>
      <c r="R16" s="5">
        <v>1.6449</v>
      </c>
      <c r="S16" s="5">
        <v>1.6443</v>
      </c>
      <c r="T16" s="5">
        <v>1.6411</v>
      </c>
      <c r="U16" s="5">
        <v>1.6379</v>
      </c>
      <c r="V16" s="1"/>
      <c r="W16" s="2" t="str">
        <f>IF('расчет'!R35&lt;50000,50000,'расчет'!R35)</f>
        <v>96182.02339</v>
      </c>
      <c r="X16" s="2" t="str">
        <f t="shared" si="1"/>
        <v>75000</v>
      </c>
      <c r="Y16" s="2" t="str">
        <f t="shared" si="2"/>
        <v>100000</v>
      </c>
      <c r="Z16" s="2" t="str">
        <f t="shared" si="3"/>
        <v>0.1527190645</v>
      </c>
      <c r="AA16" s="2" t="str">
        <f t="shared" si="4"/>
        <v>0.8472809355</v>
      </c>
      <c r="AB16" s="2" t="str">
        <f>'расчет'!P35</f>
        <v>14.12833628</v>
      </c>
      <c r="AC16" s="2" t="str">
        <f t="shared" ref="AC16:AD16" si="24">AC15</f>
        <v>0</v>
      </c>
      <c r="AD16" s="2" t="str">
        <f t="shared" si="24"/>
        <v>23</v>
      </c>
      <c r="AE16" s="2" t="str">
        <f t="shared" si="6"/>
        <v>14</v>
      </c>
      <c r="AF16" s="2" t="str">
        <f t="shared" si="7"/>
        <v>14.5</v>
      </c>
      <c r="AG16" s="2" t="str">
        <f t="shared" si="8"/>
        <v>0.7433274325</v>
      </c>
      <c r="AH16" s="2" t="str">
        <f t="shared" si="9"/>
        <v>0.2566725675</v>
      </c>
      <c r="AI16" s="2" t="str">
        <f>VLOOKUP(AE16,B4:U50,(X16/25000),FALSE)</f>
        <v>1.5196</v>
      </c>
      <c r="AJ16" s="2" t="str">
        <f>VLOOKUP(AF16,B4:U50,(X16/25000),FALSE)</f>
        <v>1.5199</v>
      </c>
      <c r="AK16" s="2" t="str">
        <f>VLOOKUP(AE16,B4:U50,(Y16/25000),FALSE)</f>
        <v>1.5344</v>
      </c>
      <c r="AL16" s="2" t="str">
        <f>VLOOKUP(AF16,B4:U50,(Y16/25000),FALSE)</f>
        <v>1.5596</v>
      </c>
      <c r="AM16" s="2" t="str">
        <f t="shared" si="10"/>
        <v>1.519677002</v>
      </c>
      <c r="AN16" s="2" t="str">
        <f t="shared" si="11"/>
        <v>1.540868149</v>
      </c>
      <c r="AO16" s="2" t="str">
        <f t="shared" si="12"/>
        <v>1.537631857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ht="12.75" customHeight="1">
      <c r="A17" s="1"/>
      <c r="B17" s="5">
        <v>6.5</v>
      </c>
      <c r="C17" s="5">
        <v>0.616566667</v>
      </c>
      <c r="D17" s="5">
        <v>0.7247</v>
      </c>
      <c r="E17" s="5">
        <v>0.835921429</v>
      </c>
      <c r="F17" s="5">
        <v>0.947142857</v>
      </c>
      <c r="G17" s="5">
        <v>1.056883929</v>
      </c>
      <c r="H17" s="5">
        <v>1.166625</v>
      </c>
      <c r="I17" s="5">
        <v>1.3237675</v>
      </c>
      <c r="J17" s="5">
        <v>1.40233875</v>
      </c>
      <c r="K17" s="5">
        <v>1.48091</v>
      </c>
      <c r="L17" s="5">
        <v>1.548905</v>
      </c>
      <c r="M17" s="5">
        <v>1.6169</v>
      </c>
      <c r="N17" s="5">
        <v>1.62805</v>
      </c>
      <c r="O17" s="5">
        <v>1.6392</v>
      </c>
      <c r="P17" s="5">
        <v>1.64655</v>
      </c>
      <c r="Q17" s="5">
        <v>1.6539</v>
      </c>
      <c r="R17" s="5">
        <v>1.661</v>
      </c>
      <c r="S17" s="5">
        <v>1.6681</v>
      </c>
      <c r="T17" s="5">
        <v>1.67065</v>
      </c>
      <c r="U17" s="5">
        <v>1.6732</v>
      </c>
      <c r="V17" s="1"/>
      <c r="W17" s="2" t="str">
        <f>IF('расчет'!R36&lt;50000,50000,'расчет'!R36)</f>
        <v>85674.39578</v>
      </c>
      <c r="X17" s="2" t="str">
        <f t="shared" si="1"/>
        <v>75000</v>
      </c>
      <c r="Y17" s="2" t="str">
        <f t="shared" si="2"/>
        <v>100000</v>
      </c>
      <c r="Z17" s="2" t="str">
        <f t="shared" si="3"/>
        <v>0.5730241689</v>
      </c>
      <c r="AA17" s="2" t="str">
        <f t="shared" si="4"/>
        <v>0.4269758311</v>
      </c>
      <c r="AB17" s="2" t="str">
        <f>'расчет'!P36</f>
        <v>15.85841006</v>
      </c>
      <c r="AC17" s="2" t="str">
        <f t="shared" ref="AC17:AD17" si="25">AC16</f>
        <v>0</v>
      </c>
      <c r="AD17" s="2" t="str">
        <f t="shared" si="25"/>
        <v>23</v>
      </c>
      <c r="AE17" s="2" t="str">
        <f t="shared" si="6"/>
        <v>15.5</v>
      </c>
      <c r="AF17" s="2" t="str">
        <f t="shared" si="7"/>
        <v>16</v>
      </c>
      <c r="AG17" s="2" t="str">
        <f t="shared" si="8"/>
        <v>0.2831798876</v>
      </c>
      <c r="AH17" s="2" t="str">
        <f t="shared" si="9"/>
        <v>0.7168201124</v>
      </c>
      <c r="AI17" s="2" t="str">
        <f>VLOOKUP(AE17,B4:U50,(X17/25000),FALSE)</f>
        <v>1.7123</v>
      </c>
      <c r="AJ17" s="2" t="str">
        <f>VLOOKUP(AF17,B4:U50,(X17/25000),FALSE)</f>
        <v>1.8079</v>
      </c>
      <c r="AK17" s="2" t="str">
        <f>VLOOKUP(AE17,B4:U50,(Y17/25000),FALSE)</f>
        <v>1.7011</v>
      </c>
      <c r="AL17" s="2" t="str">
        <f>VLOOKUP(AF17,B4:U50,(Y17/25000),FALSE)</f>
        <v>1.7328</v>
      </c>
      <c r="AM17" s="2" t="str">
        <f t="shared" si="10"/>
        <v>1.780828003</v>
      </c>
      <c r="AN17" s="2" t="str">
        <f t="shared" si="11"/>
        <v>1.723823198</v>
      </c>
      <c r="AO17" s="2" t="str">
        <f t="shared" si="12"/>
        <v>1.756488329</v>
      </c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ht="12.75" customHeight="1">
      <c r="A18" s="1"/>
      <c r="B18" s="5">
        <v>7.0</v>
      </c>
      <c r="C18" s="5">
        <v>0.6556</v>
      </c>
      <c r="D18" s="5">
        <v>0.752</v>
      </c>
      <c r="E18" s="5">
        <v>0.873542857</v>
      </c>
      <c r="F18" s="5">
        <v>0.995085714</v>
      </c>
      <c r="G18" s="5">
        <v>1.107836607</v>
      </c>
      <c r="H18" s="5">
        <v>1.2205875</v>
      </c>
      <c r="I18" s="5">
        <v>1.38094625</v>
      </c>
      <c r="J18" s="5">
        <v>1.461125625</v>
      </c>
      <c r="K18" s="5">
        <v>1.541305</v>
      </c>
      <c r="L18" s="5">
        <v>1.5818025</v>
      </c>
      <c r="M18" s="5">
        <v>1.6223</v>
      </c>
      <c r="N18" s="5">
        <v>1.64665</v>
      </c>
      <c r="O18" s="5">
        <v>1.671</v>
      </c>
      <c r="P18" s="5">
        <v>1.6834</v>
      </c>
      <c r="Q18" s="5">
        <v>1.6958</v>
      </c>
      <c r="R18" s="5">
        <v>1.6895</v>
      </c>
      <c r="S18" s="5">
        <v>1.6832</v>
      </c>
      <c r="T18" s="5">
        <v>1.6856</v>
      </c>
      <c r="U18" s="5">
        <v>1.688</v>
      </c>
      <c r="V18" s="1"/>
      <c r="W18" s="2" t="str">
        <f>IF('расчет'!R37&lt;50000,50000,'расчет'!R37)</f>
        <v>74137.3012</v>
      </c>
      <c r="X18" s="2" t="str">
        <f t="shared" si="1"/>
        <v>50000</v>
      </c>
      <c r="Y18" s="2" t="str">
        <f t="shared" si="2"/>
        <v>75000</v>
      </c>
      <c r="Z18" s="2" t="str">
        <f t="shared" si="3"/>
        <v>0.03450795217</v>
      </c>
      <c r="AA18" s="2" t="str">
        <f t="shared" si="4"/>
        <v>0.9654920478</v>
      </c>
      <c r="AB18" s="2" t="str">
        <f>'расчет'!P37</f>
        <v>18.5217332</v>
      </c>
      <c r="AC18" s="2" t="str">
        <f t="shared" ref="AC18:AD18" si="26">AC17</f>
        <v>0</v>
      </c>
      <c r="AD18" s="2" t="str">
        <f t="shared" si="26"/>
        <v>23</v>
      </c>
      <c r="AE18" s="2" t="str">
        <f t="shared" si="6"/>
        <v>18.5</v>
      </c>
      <c r="AF18" s="2" t="str">
        <f t="shared" si="7"/>
        <v>19</v>
      </c>
      <c r="AG18" s="2" t="str">
        <f t="shared" si="8"/>
        <v>0.9565335919</v>
      </c>
      <c r="AH18" s="2" t="str">
        <f t="shared" si="9"/>
        <v>0.0434664081</v>
      </c>
      <c r="AI18" s="2" t="str">
        <f>VLOOKUP(AE18,B4:U50,(X18/25000),FALSE)</f>
        <v>1.65885</v>
      </c>
      <c r="AJ18" s="2" t="str">
        <f>VLOOKUP(AF18,B4:U50,(X18/25000),FALSE)</f>
        <v>1.5584</v>
      </c>
      <c r="AK18" s="2" t="str">
        <f>VLOOKUP(AE18,B4:U50,(Y18/25000),FALSE)</f>
        <v>1.7114</v>
      </c>
      <c r="AL18" s="2" t="str">
        <f>VLOOKUP(AF18,B4:U50,(Y18/25000),FALSE)</f>
        <v>1.6459</v>
      </c>
      <c r="AM18" s="2" t="str">
        <f t="shared" si="10"/>
        <v>1.654483799</v>
      </c>
      <c r="AN18" s="2" t="str">
        <f t="shared" si="11"/>
        <v>1.70855295</v>
      </c>
      <c r="AO18" s="2" t="str">
        <f t="shared" si="12"/>
        <v>1.706687135</v>
      </c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ht="12.75" customHeight="1">
      <c r="A19" s="1"/>
      <c r="B19" s="5">
        <v>7.5</v>
      </c>
      <c r="C19" s="5">
        <v>0.7352</v>
      </c>
      <c r="D19" s="5">
        <v>0.7904</v>
      </c>
      <c r="E19" s="5">
        <v>0.916714286</v>
      </c>
      <c r="F19" s="5">
        <v>1.043028571</v>
      </c>
      <c r="G19" s="5">
        <v>1.158789286</v>
      </c>
      <c r="H19" s="5">
        <v>1.27455</v>
      </c>
      <c r="I19" s="5">
        <v>1.438125</v>
      </c>
      <c r="J19" s="5">
        <v>1.5199125</v>
      </c>
      <c r="K19" s="5">
        <v>1.6017</v>
      </c>
      <c r="L19" s="5">
        <v>1.65595</v>
      </c>
      <c r="M19" s="5">
        <v>1.7102</v>
      </c>
      <c r="N19" s="5">
        <v>1.69925</v>
      </c>
      <c r="O19" s="5">
        <v>1.6883</v>
      </c>
      <c r="P19" s="5">
        <v>1.6992</v>
      </c>
      <c r="Q19" s="5">
        <v>1.7101</v>
      </c>
      <c r="R19" s="5">
        <v>1.7052</v>
      </c>
      <c r="S19" s="5">
        <v>1.7003</v>
      </c>
      <c r="T19" s="5">
        <v>1.69995</v>
      </c>
      <c r="U19" s="5">
        <v>1.6996</v>
      </c>
      <c r="V19" s="1"/>
      <c r="W19" s="2" t="str">
        <f>IF('расчет'!R38&lt;50000,50000,'расчет'!R38)</f>
        <v>61560.12526</v>
      </c>
      <c r="X19" s="2" t="str">
        <f t="shared" si="1"/>
        <v>50000</v>
      </c>
      <c r="Y19" s="2" t="str">
        <f t="shared" si="2"/>
        <v>75000</v>
      </c>
      <c r="Z19" s="2" t="str">
        <f t="shared" si="3"/>
        <v>0.5375949897</v>
      </c>
      <c r="AA19" s="2" t="str">
        <f t="shared" si="4"/>
        <v>0.4624050103</v>
      </c>
      <c r="AB19" s="2" t="str">
        <f>'расчет'!P38</f>
        <v>22.68814529</v>
      </c>
      <c r="AC19" s="2" t="str">
        <f t="shared" ref="AC19:AD19" si="27">AC18</f>
        <v>0</v>
      </c>
      <c r="AD19" s="2" t="str">
        <f t="shared" si="27"/>
        <v>23</v>
      </c>
      <c r="AE19" s="2" t="str">
        <f t="shared" si="6"/>
        <v>22.5</v>
      </c>
      <c r="AF19" s="2" t="str">
        <f t="shared" si="7"/>
        <v>23</v>
      </c>
      <c r="AG19" s="2" t="str">
        <f t="shared" si="8"/>
        <v>0.6237094224</v>
      </c>
      <c r="AH19" s="2" t="str">
        <f t="shared" si="9"/>
        <v>0.3762905776</v>
      </c>
      <c r="AI19" s="2" t="str">
        <f>VLOOKUP(AE19,B4:U50,(X19/25000),FALSE)</f>
        <v>1.4182</v>
      </c>
      <c r="AJ19" s="2" t="str">
        <f>VLOOKUP(AF19,B4:U50,(X19/25000),FALSE)</f>
        <v>1.426</v>
      </c>
      <c r="AK19" s="2" t="str">
        <f>VLOOKUP(AE19,B4:U50,(Y19/25000),FALSE)</f>
        <v>1.4233</v>
      </c>
      <c r="AL19" s="2" t="str">
        <f>VLOOKUP(AF19,B4:U50,(Y19/25000),FALSE)</f>
        <v>1.4491</v>
      </c>
      <c r="AM19" s="2" t="str">
        <f t="shared" si="10"/>
        <v>1.421135067</v>
      </c>
      <c r="AN19" s="2" t="str">
        <f t="shared" si="11"/>
        <v>1.433008297</v>
      </c>
      <c r="AO19" s="2" t="str">
        <f t="shared" si="12"/>
        <v>1.426625308</v>
      </c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ht="12.75" customHeight="1">
      <c r="A20" s="1"/>
      <c r="B20" s="5">
        <v>8.0</v>
      </c>
      <c r="C20" s="5">
        <v>0.7698</v>
      </c>
      <c r="D20" s="5">
        <v>0.8477</v>
      </c>
      <c r="E20" s="5">
        <v>0.969335714</v>
      </c>
      <c r="F20" s="5">
        <v>1.090971429</v>
      </c>
      <c r="G20" s="5">
        <v>1.209741964</v>
      </c>
      <c r="H20" s="5">
        <v>1.3285125</v>
      </c>
      <c r="I20" s="5">
        <v>1.46705625</v>
      </c>
      <c r="J20" s="5">
        <v>1.536328125</v>
      </c>
      <c r="K20" s="5">
        <v>1.6056</v>
      </c>
      <c r="L20" s="5">
        <v>1.65595</v>
      </c>
      <c r="M20" s="5">
        <v>1.7063</v>
      </c>
      <c r="N20" s="5">
        <v>1.71065</v>
      </c>
      <c r="O20" s="5">
        <v>1.715</v>
      </c>
      <c r="P20" s="5">
        <v>1.71675</v>
      </c>
      <c r="Q20" s="5">
        <v>1.7185</v>
      </c>
      <c r="R20" s="5">
        <v>1.7172</v>
      </c>
      <c r="S20" s="5">
        <v>1.7159</v>
      </c>
      <c r="T20" s="5">
        <v>1.71425</v>
      </c>
      <c r="U20" s="5">
        <v>1.7126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ht="12.75" customHeight="1">
      <c r="A21" s="1"/>
      <c r="B21" s="5">
        <v>8.5</v>
      </c>
      <c r="C21" s="5">
        <v>0.843</v>
      </c>
      <c r="D21" s="5">
        <v>0.8583</v>
      </c>
      <c r="E21" s="5">
        <v>0.998607143</v>
      </c>
      <c r="F21" s="5">
        <v>1.138914286</v>
      </c>
      <c r="G21" s="5">
        <v>1.2313</v>
      </c>
      <c r="H21" s="5">
        <v>1.382475</v>
      </c>
      <c r="I21" s="5">
        <v>1.5519375</v>
      </c>
      <c r="J21" s="5">
        <v>1.63666875</v>
      </c>
      <c r="K21" s="5">
        <v>1.7214</v>
      </c>
      <c r="L21" s="5">
        <v>1.7203</v>
      </c>
      <c r="M21" s="5">
        <v>1.7192</v>
      </c>
      <c r="N21" s="5">
        <v>1.72425</v>
      </c>
      <c r="O21" s="5">
        <v>1.7293</v>
      </c>
      <c r="P21" s="5">
        <v>1.7304</v>
      </c>
      <c r="Q21" s="5">
        <v>1.7315</v>
      </c>
      <c r="R21" s="5">
        <v>1.7262</v>
      </c>
      <c r="S21" s="5">
        <v>1.7209</v>
      </c>
      <c r="T21" s="5">
        <v>1.71795</v>
      </c>
      <c r="U21" s="5">
        <v>1.715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ht="12.75" customHeight="1">
      <c r="A22" s="1"/>
      <c r="B22" s="5">
        <v>9.0</v>
      </c>
      <c r="C22" s="5">
        <v>0.8698</v>
      </c>
      <c r="D22" s="5">
        <v>0.9411</v>
      </c>
      <c r="E22" s="5">
        <v>1.063978571</v>
      </c>
      <c r="F22" s="5">
        <v>1.186857143</v>
      </c>
      <c r="G22" s="5">
        <v>1.317</v>
      </c>
      <c r="H22" s="5">
        <v>1.4364375</v>
      </c>
      <c r="I22" s="5">
        <v>1.58461875</v>
      </c>
      <c r="J22" s="5">
        <v>1.658709375</v>
      </c>
      <c r="K22" s="5">
        <v>1.7328</v>
      </c>
      <c r="L22" s="5">
        <v>1.73725</v>
      </c>
      <c r="M22" s="5">
        <v>1.7417</v>
      </c>
      <c r="N22" s="5">
        <v>1.7384</v>
      </c>
      <c r="O22" s="5">
        <v>1.7351</v>
      </c>
      <c r="P22" s="5">
        <v>1.7297</v>
      </c>
      <c r="Q22" s="5">
        <v>1.7243</v>
      </c>
      <c r="R22" s="5">
        <v>1.7176</v>
      </c>
      <c r="S22" s="5">
        <v>1.7109</v>
      </c>
      <c r="T22" s="5">
        <v>1.70355</v>
      </c>
      <c r="U22" s="5">
        <v>1.6962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ht="12.75" customHeight="1">
      <c r="A23" s="1"/>
      <c r="B23" s="5">
        <v>9.5</v>
      </c>
      <c r="C23" s="5">
        <v>0.945</v>
      </c>
      <c r="D23" s="5">
        <v>0.96</v>
      </c>
      <c r="E23" s="5">
        <v>1.0675</v>
      </c>
      <c r="F23" s="5">
        <v>1.2348</v>
      </c>
      <c r="G23" s="5">
        <v>1.4021</v>
      </c>
      <c r="H23" s="5">
        <v>1.4904</v>
      </c>
      <c r="I23" s="5">
        <v>1.61645</v>
      </c>
      <c r="J23" s="5">
        <v>1.679475</v>
      </c>
      <c r="K23" s="5">
        <v>1.7425</v>
      </c>
      <c r="L23" s="5">
        <v>1.7384</v>
      </c>
      <c r="M23" s="5">
        <v>1.7343</v>
      </c>
      <c r="N23" s="5">
        <v>1.7284</v>
      </c>
      <c r="O23" s="5">
        <v>1.7225</v>
      </c>
      <c r="P23" s="5">
        <v>1.7125</v>
      </c>
      <c r="Q23" s="5">
        <v>1.7025</v>
      </c>
      <c r="R23" s="5">
        <v>1.6913</v>
      </c>
      <c r="S23" s="5">
        <v>1.6801</v>
      </c>
      <c r="T23" s="5">
        <v>1.6691</v>
      </c>
      <c r="U23" s="5">
        <v>1.6581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ht="12.75" customHeight="1">
      <c r="A24" s="1"/>
      <c r="B24" s="5">
        <v>10.0</v>
      </c>
      <c r="C24" s="5">
        <v>0.9577</v>
      </c>
      <c r="D24" s="5">
        <v>1.0422</v>
      </c>
      <c r="E24" s="5">
        <v>1.1884</v>
      </c>
      <c r="F24" s="5">
        <v>1.3378</v>
      </c>
      <c r="G24" s="5">
        <v>1.4872</v>
      </c>
      <c r="H24" s="5">
        <v>1.6206</v>
      </c>
      <c r="I24" s="5">
        <v>1.6864</v>
      </c>
      <c r="J24" s="5">
        <v>1.7193</v>
      </c>
      <c r="K24" s="5">
        <v>1.7522</v>
      </c>
      <c r="L24" s="5">
        <v>1.72485</v>
      </c>
      <c r="M24" s="5">
        <v>1.6975</v>
      </c>
      <c r="N24" s="5">
        <v>1.6911</v>
      </c>
      <c r="O24" s="5">
        <v>1.6847</v>
      </c>
      <c r="P24" s="5">
        <v>1.67</v>
      </c>
      <c r="Q24" s="5">
        <v>1.6553</v>
      </c>
      <c r="R24" s="5">
        <v>1.64165</v>
      </c>
      <c r="S24" s="5">
        <v>1.628</v>
      </c>
      <c r="T24" s="5">
        <v>1.61395</v>
      </c>
      <c r="U24" s="5">
        <v>1.5999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ht="12.75" customHeight="1">
      <c r="A25" s="1"/>
      <c r="B25" s="5">
        <v>10.5</v>
      </c>
      <c r="C25" s="5">
        <v>1.0187</v>
      </c>
      <c r="D25" s="5">
        <v>1.0431</v>
      </c>
      <c r="E25" s="5">
        <v>1.2533</v>
      </c>
      <c r="F25" s="5">
        <v>1.4128</v>
      </c>
      <c r="G25" s="5">
        <v>1.5723</v>
      </c>
      <c r="H25" s="5">
        <v>1.6615</v>
      </c>
      <c r="I25" s="5">
        <v>1.7276</v>
      </c>
      <c r="J25" s="5">
        <v>1.7171</v>
      </c>
      <c r="K25" s="5">
        <v>1.7066</v>
      </c>
      <c r="L25" s="5">
        <v>1.68365</v>
      </c>
      <c r="M25" s="5">
        <v>1.6607</v>
      </c>
      <c r="N25" s="5">
        <v>1.643925</v>
      </c>
      <c r="O25" s="5">
        <v>1.62715</v>
      </c>
      <c r="P25" s="5">
        <v>1.607425</v>
      </c>
      <c r="Q25" s="5">
        <v>1.5877</v>
      </c>
      <c r="R25" s="5">
        <v>1.57275</v>
      </c>
      <c r="S25" s="5">
        <v>1.5578</v>
      </c>
      <c r="T25" s="5">
        <v>1.54485</v>
      </c>
      <c r="U25" s="5">
        <v>1.5319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ht="12.75" customHeight="1">
      <c r="A26" s="1"/>
      <c r="B26" s="5">
        <v>11.0</v>
      </c>
      <c r="C26" s="5">
        <v>1.0285</v>
      </c>
      <c r="D26" s="5">
        <v>1.0649</v>
      </c>
      <c r="E26" s="5">
        <v>1.2698</v>
      </c>
      <c r="F26" s="5">
        <v>1.44665</v>
      </c>
      <c r="G26" s="5">
        <v>1.6235</v>
      </c>
      <c r="H26" s="5">
        <v>1.7067</v>
      </c>
      <c r="I26" s="5">
        <v>1.6928</v>
      </c>
      <c r="J26" s="5">
        <v>1.6645</v>
      </c>
      <c r="K26" s="5">
        <v>1.6362</v>
      </c>
      <c r="L26" s="5">
        <v>1.61305</v>
      </c>
      <c r="M26" s="5">
        <v>1.5899</v>
      </c>
      <c r="N26" s="5">
        <v>1.57975</v>
      </c>
      <c r="O26" s="5">
        <v>1.5696</v>
      </c>
      <c r="P26" s="5">
        <v>1.5509</v>
      </c>
      <c r="Q26" s="5">
        <v>1.5322</v>
      </c>
      <c r="R26" s="5">
        <v>1.53005</v>
      </c>
      <c r="S26" s="5">
        <v>1.5279</v>
      </c>
      <c r="T26" s="5">
        <v>1.52685</v>
      </c>
      <c r="U26" s="5">
        <v>1.5258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ht="12.75" customHeight="1">
      <c r="A27" s="1"/>
      <c r="B27" s="5">
        <v>11.5</v>
      </c>
      <c r="C27" s="5">
        <v>1.0594</v>
      </c>
      <c r="D27" s="5">
        <v>1.1061</v>
      </c>
      <c r="E27" s="5">
        <v>1.343</v>
      </c>
      <c r="F27" s="5">
        <v>1.50885</v>
      </c>
      <c r="G27" s="5">
        <v>1.6747</v>
      </c>
      <c r="H27" s="5">
        <v>1.6558</v>
      </c>
      <c r="I27" s="5">
        <v>1.6206</v>
      </c>
      <c r="J27" s="5">
        <v>1.59655</v>
      </c>
      <c r="K27" s="5">
        <v>1.5725</v>
      </c>
      <c r="L27" s="5">
        <v>1.569</v>
      </c>
      <c r="M27" s="5">
        <v>1.5655</v>
      </c>
      <c r="N27" s="5">
        <v>1.568</v>
      </c>
      <c r="O27" s="5">
        <v>1.5705</v>
      </c>
      <c r="P27" s="5">
        <v>1.565625</v>
      </c>
      <c r="Q27" s="5">
        <v>1.56075</v>
      </c>
      <c r="R27" s="5">
        <v>1.575875</v>
      </c>
      <c r="S27" s="5">
        <v>1.591</v>
      </c>
      <c r="T27" s="5">
        <v>1.57735</v>
      </c>
      <c r="U27" s="5">
        <v>1.5637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ht="12.75" customHeight="1">
      <c r="A28" s="1"/>
      <c r="B28" s="5">
        <v>12.0</v>
      </c>
      <c r="C28" s="5">
        <v>1.0895</v>
      </c>
      <c r="D28" s="5">
        <v>1.2178</v>
      </c>
      <c r="E28" s="5">
        <v>1.4162</v>
      </c>
      <c r="F28" s="5">
        <v>1.6146</v>
      </c>
      <c r="G28" s="5">
        <v>1.621</v>
      </c>
      <c r="H28" s="5">
        <v>1.6094</v>
      </c>
      <c r="I28" s="5">
        <v>1.5684</v>
      </c>
      <c r="J28" s="5">
        <v>1.5654</v>
      </c>
      <c r="K28" s="5">
        <v>1.5624</v>
      </c>
      <c r="L28" s="5">
        <v>1.5649</v>
      </c>
      <c r="M28" s="5">
        <v>1.5674</v>
      </c>
      <c r="N28" s="5">
        <v>1.5722</v>
      </c>
      <c r="O28" s="5">
        <v>1.577</v>
      </c>
      <c r="P28" s="5">
        <v>1.58315</v>
      </c>
      <c r="Q28" s="5">
        <v>1.5893</v>
      </c>
      <c r="R28" s="5">
        <v>1.5933</v>
      </c>
      <c r="S28" s="5">
        <v>1.5973</v>
      </c>
      <c r="T28" s="5">
        <v>1.59945</v>
      </c>
      <c r="U28" s="5">
        <v>1.6016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ht="12.75" customHeight="1">
      <c r="A29" s="1"/>
      <c r="B29" s="5">
        <v>12.5</v>
      </c>
      <c r="C29" s="5">
        <v>1.105</v>
      </c>
      <c r="D29" s="5">
        <v>1.2979</v>
      </c>
      <c r="E29" s="5">
        <v>1.4905</v>
      </c>
      <c r="F29" s="5">
        <v>1.5931</v>
      </c>
      <c r="G29" s="5">
        <v>1.5683</v>
      </c>
      <c r="H29" s="5">
        <v>1.563</v>
      </c>
      <c r="I29" s="5">
        <v>1.5596</v>
      </c>
      <c r="J29" s="5">
        <v>1.56235</v>
      </c>
      <c r="K29" s="5">
        <v>1.5651</v>
      </c>
      <c r="L29" s="5">
        <v>1.56775</v>
      </c>
      <c r="M29" s="5">
        <v>1.5704</v>
      </c>
      <c r="N29" s="5">
        <v>1.57785</v>
      </c>
      <c r="O29" s="5">
        <v>1.5853</v>
      </c>
      <c r="P29" s="5">
        <v>1.5895</v>
      </c>
      <c r="Q29" s="5">
        <v>1.5937</v>
      </c>
      <c r="R29" s="5">
        <v>1.59495</v>
      </c>
      <c r="S29" s="5">
        <v>1.5962</v>
      </c>
      <c r="T29" s="5">
        <v>1.6053</v>
      </c>
      <c r="U29" s="5">
        <v>1.6144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ht="12.75" customHeight="1">
      <c r="A30" s="1"/>
      <c r="B30" s="5">
        <v>13.0</v>
      </c>
      <c r="C30" s="5">
        <v>1.1338</v>
      </c>
      <c r="D30" s="5">
        <v>1.35375</v>
      </c>
      <c r="E30" s="5">
        <v>1.5737</v>
      </c>
      <c r="F30" s="5">
        <v>1.5547</v>
      </c>
      <c r="G30" s="5">
        <v>1.5579</v>
      </c>
      <c r="H30" s="5">
        <v>1.5563</v>
      </c>
      <c r="I30" s="5">
        <v>1.5609</v>
      </c>
      <c r="J30" s="5">
        <v>1.5613</v>
      </c>
      <c r="K30" s="5">
        <v>1.5617</v>
      </c>
      <c r="L30" s="5">
        <v>1.57055</v>
      </c>
      <c r="M30" s="5">
        <v>1.5794</v>
      </c>
      <c r="N30" s="5">
        <v>1.58445</v>
      </c>
      <c r="O30" s="5">
        <v>1.5895</v>
      </c>
      <c r="P30" s="5">
        <v>1.59</v>
      </c>
      <c r="Q30" s="5">
        <v>1.5905</v>
      </c>
      <c r="R30" s="5">
        <v>1.60005</v>
      </c>
      <c r="S30" s="5">
        <v>1.6096</v>
      </c>
      <c r="T30" s="5">
        <v>1.61725</v>
      </c>
      <c r="U30" s="5">
        <v>1.6249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ht="12.75" customHeight="1">
      <c r="A31" s="1"/>
      <c r="B31" s="5">
        <v>13.5</v>
      </c>
      <c r="C31" s="5">
        <v>1.1788</v>
      </c>
      <c r="D31" s="5">
        <v>1.3567</v>
      </c>
      <c r="E31" s="5">
        <v>1.5346</v>
      </c>
      <c r="F31" s="5">
        <v>1.5468</v>
      </c>
      <c r="G31" s="5">
        <v>1.5548</v>
      </c>
      <c r="H31" s="5">
        <v>1.559</v>
      </c>
      <c r="I31" s="5">
        <v>1.563</v>
      </c>
      <c r="J31" s="5">
        <v>1.5675</v>
      </c>
      <c r="K31" s="5">
        <v>1.572</v>
      </c>
      <c r="L31" s="5">
        <v>1.57835</v>
      </c>
      <c r="M31" s="5">
        <v>1.5847</v>
      </c>
      <c r="N31" s="5">
        <v>1.58515</v>
      </c>
      <c r="O31" s="5">
        <v>1.5856</v>
      </c>
      <c r="P31" s="5">
        <v>1.5947</v>
      </c>
      <c r="Q31" s="5">
        <v>1.6038</v>
      </c>
      <c r="R31" s="5">
        <v>1.6118</v>
      </c>
      <c r="S31" s="5">
        <v>1.6198</v>
      </c>
      <c r="T31" s="5">
        <v>1.62685</v>
      </c>
      <c r="U31" s="5">
        <v>1.6339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ht="12.75" customHeight="1">
      <c r="A32" s="1"/>
      <c r="B32" s="5">
        <v>14.0</v>
      </c>
      <c r="C32" s="5">
        <v>1.3517</v>
      </c>
      <c r="D32" s="5">
        <v>1.5196</v>
      </c>
      <c r="E32" s="5">
        <v>1.5344</v>
      </c>
      <c r="F32" s="5">
        <v>1.5544</v>
      </c>
      <c r="G32" s="5">
        <v>1.5601</v>
      </c>
      <c r="H32" s="5">
        <v>1.5647</v>
      </c>
      <c r="I32" s="5">
        <v>1.5663</v>
      </c>
      <c r="J32" s="5">
        <v>1.57335</v>
      </c>
      <c r="K32" s="5">
        <v>1.5804</v>
      </c>
      <c r="L32" s="5">
        <v>1.58195</v>
      </c>
      <c r="M32" s="5">
        <v>1.5835</v>
      </c>
      <c r="N32" s="5">
        <v>1.59125</v>
      </c>
      <c r="O32" s="5">
        <v>1.599</v>
      </c>
      <c r="P32" s="5">
        <v>1.60705</v>
      </c>
      <c r="Q32" s="5">
        <v>1.6151</v>
      </c>
      <c r="R32" s="5">
        <v>1.62185</v>
      </c>
      <c r="S32" s="5">
        <v>1.6286</v>
      </c>
      <c r="T32" s="5">
        <v>1.6329</v>
      </c>
      <c r="U32" s="5">
        <v>1.6372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ht="12.75" customHeight="1">
      <c r="A33" s="1"/>
      <c r="B33" s="5">
        <v>14.5</v>
      </c>
      <c r="C33" s="5">
        <v>1.5246</v>
      </c>
      <c r="D33" s="5">
        <v>1.5199</v>
      </c>
      <c r="E33" s="5">
        <v>1.5596</v>
      </c>
      <c r="F33" s="5">
        <v>1.5735</v>
      </c>
      <c r="G33" s="5">
        <v>1.5745</v>
      </c>
      <c r="H33" s="5">
        <v>1.5793</v>
      </c>
      <c r="I33" s="5">
        <v>1.582</v>
      </c>
      <c r="J33" s="5">
        <v>1.5844</v>
      </c>
      <c r="K33" s="5">
        <v>1.5868</v>
      </c>
      <c r="L33" s="5">
        <v>1.592</v>
      </c>
      <c r="M33" s="5">
        <v>1.5972</v>
      </c>
      <c r="N33" s="5">
        <v>1.604</v>
      </c>
      <c r="O33" s="5">
        <v>1.6108</v>
      </c>
      <c r="P33" s="5">
        <v>1.61685</v>
      </c>
      <c r="Q33" s="5">
        <v>1.6229</v>
      </c>
      <c r="R33" s="5">
        <v>1.6254</v>
      </c>
      <c r="S33" s="5">
        <v>1.6279</v>
      </c>
      <c r="T33" s="5">
        <v>1.63</v>
      </c>
      <c r="U33" s="5">
        <v>1.6321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ht="12.75" customHeight="1">
      <c r="A34" s="1"/>
      <c r="B34" s="5">
        <v>15.0</v>
      </c>
      <c r="C34" s="5">
        <v>1.54</v>
      </c>
      <c r="D34" s="5">
        <v>1.5737</v>
      </c>
      <c r="E34" s="5">
        <v>1.6182</v>
      </c>
      <c r="F34" s="5">
        <v>1.6027</v>
      </c>
      <c r="G34" s="5">
        <v>1.6051</v>
      </c>
      <c r="H34" s="5">
        <v>1.5987</v>
      </c>
      <c r="I34" s="5">
        <v>1.5979</v>
      </c>
      <c r="J34" s="5">
        <v>1.60075</v>
      </c>
      <c r="K34" s="5">
        <v>1.6036</v>
      </c>
      <c r="L34" s="5">
        <v>1.6071</v>
      </c>
      <c r="M34" s="5">
        <v>1.6106</v>
      </c>
      <c r="N34" s="5">
        <v>1.6149</v>
      </c>
      <c r="O34" s="5">
        <v>1.6192</v>
      </c>
      <c r="P34" s="5">
        <v>1.61985</v>
      </c>
      <c r="Q34" s="5">
        <v>1.6205</v>
      </c>
      <c r="R34" s="5">
        <v>1.62845</v>
      </c>
      <c r="S34" s="5">
        <v>1.6364</v>
      </c>
      <c r="T34" s="5">
        <v>1.6449</v>
      </c>
      <c r="U34" s="5">
        <v>1.6534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ht="12.75" customHeight="1">
      <c r="A35" s="1"/>
      <c r="B35" s="5">
        <v>15.5</v>
      </c>
      <c r="C35" s="5">
        <v>1.6867</v>
      </c>
      <c r="D35" s="5">
        <v>1.7123</v>
      </c>
      <c r="E35" s="5">
        <v>1.7011</v>
      </c>
      <c r="F35" s="5">
        <v>1.6548</v>
      </c>
      <c r="G35" s="5">
        <v>1.6336</v>
      </c>
      <c r="H35" s="5">
        <v>1.6373</v>
      </c>
      <c r="I35" s="5">
        <v>1.625</v>
      </c>
      <c r="J35" s="5">
        <v>1.62175</v>
      </c>
      <c r="K35" s="5">
        <v>1.6185</v>
      </c>
      <c r="L35" s="5">
        <v>1.61975</v>
      </c>
      <c r="M35" s="5">
        <v>1.621</v>
      </c>
      <c r="N35" s="5">
        <v>1.62425</v>
      </c>
      <c r="O35" s="5">
        <v>1.6275</v>
      </c>
      <c r="P35" s="5">
        <v>1.63335</v>
      </c>
      <c r="Q35" s="5">
        <v>1.6392</v>
      </c>
      <c r="R35" s="5">
        <v>1.6462</v>
      </c>
      <c r="S35" s="5">
        <v>1.6532</v>
      </c>
      <c r="T35" s="5">
        <v>1.66045</v>
      </c>
      <c r="U35" s="5">
        <v>1.6677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ht="12.75" customHeight="1">
      <c r="A36" s="1"/>
      <c r="B36" s="5">
        <v>16.0</v>
      </c>
      <c r="C36" s="5">
        <v>1.8004</v>
      </c>
      <c r="D36" s="5">
        <v>1.8079</v>
      </c>
      <c r="E36" s="5">
        <v>1.7328</v>
      </c>
      <c r="F36" s="5">
        <v>1.7187</v>
      </c>
      <c r="G36" s="5">
        <v>1.681</v>
      </c>
      <c r="H36" s="5">
        <v>1.6584</v>
      </c>
      <c r="I36" s="5">
        <v>1.6443</v>
      </c>
      <c r="J36" s="5">
        <v>1.64415</v>
      </c>
      <c r="K36" s="5">
        <v>1.644</v>
      </c>
      <c r="L36" s="5">
        <v>1.6408</v>
      </c>
      <c r="M36" s="5">
        <v>1.6376</v>
      </c>
      <c r="N36" s="5">
        <v>1.64055</v>
      </c>
      <c r="O36" s="5">
        <v>1.6435</v>
      </c>
      <c r="P36" s="5">
        <v>1.6488</v>
      </c>
      <c r="Q36" s="5">
        <v>1.6541</v>
      </c>
      <c r="R36" s="5">
        <v>1.6603</v>
      </c>
      <c r="S36" s="5">
        <v>1.6665</v>
      </c>
      <c r="T36" s="5">
        <v>1.6693</v>
      </c>
      <c r="U36" s="5">
        <v>1.6721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ht="12.75" customHeight="1">
      <c r="A37" s="1"/>
      <c r="B37" s="5">
        <v>16.5</v>
      </c>
      <c r="C37" s="5">
        <v>1.866</v>
      </c>
      <c r="D37" s="5">
        <v>1.8087</v>
      </c>
      <c r="E37" s="5">
        <v>1.7832</v>
      </c>
      <c r="F37" s="5">
        <v>1.7385</v>
      </c>
      <c r="G37" s="5">
        <v>1.7113</v>
      </c>
      <c r="H37" s="5">
        <v>1.6994</v>
      </c>
      <c r="I37" s="5">
        <v>1.6771</v>
      </c>
      <c r="J37" s="5">
        <v>1.66615</v>
      </c>
      <c r="K37" s="5">
        <v>1.6552</v>
      </c>
      <c r="L37" s="5">
        <v>1.6528</v>
      </c>
      <c r="M37" s="5">
        <v>1.6504</v>
      </c>
      <c r="N37" s="5">
        <v>1.65245</v>
      </c>
      <c r="O37" s="5">
        <v>1.6545</v>
      </c>
      <c r="P37" s="5">
        <v>1.6563</v>
      </c>
      <c r="Q37" s="5">
        <v>1.6581</v>
      </c>
      <c r="R37" s="5">
        <v>1.6652</v>
      </c>
      <c r="S37" s="5">
        <v>1.6723</v>
      </c>
      <c r="T37" s="5">
        <v>1.6804</v>
      </c>
      <c r="U37" s="5">
        <v>1.6885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ht="12.75" customHeight="1">
      <c r="A38" s="1"/>
      <c r="B38" s="5">
        <v>17.0</v>
      </c>
      <c r="C38" s="5">
        <v>1.843</v>
      </c>
      <c r="D38" s="5">
        <v>1.8097</v>
      </c>
      <c r="E38" s="5">
        <v>1.7894</v>
      </c>
      <c r="F38" s="5">
        <v>1.7862</v>
      </c>
      <c r="G38" s="5">
        <v>1.7455</v>
      </c>
      <c r="H38" s="5">
        <v>1.7164</v>
      </c>
      <c r="I38" s="5">
        <v>1.6927</v>
      </c>
      <c r="J38" s="5">
        <v>1.6801</v>
      </c>
      <c r="K38" s="5">
        <v>1.6675</v>
      </c>
      <c r="L38" s="5">
        <v>1.6664</v>
      </c>
      <c r="M38" s="5">
        <v>1.6653</v>
      </c>
      <c r="N38" s="5">
        <v>1.66565</v>
      </c>
      <c r="O38" s="5">
        <v>1.666</v>
      </c>
      <c r="P38" s="5">
        <v>1.6709</v>
      </c>
      <c r="Q38" s="5">
        <v>1.6758</v>
      </c>
      <c r="R38" s="5">
        <v>1.68295</v>
      </c>
      <c r="S38" s="5">
        <v>1.6901</v>
      </c>
      <c r="T38" s="5">
        <v>1.6967</v>
      </c>
      <c r="U38" s="5">
        <v>1.7033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ht="12.75" customHeight="1">
      <c r="A39" s="1"/>
      <c r="B39" s="5">
        <v>17.5</v>
      </c>
      <c r="C39" s="5">
        <v>1.8021</v>
      </c>
      <c r="D39" s="5">
        <v>1.8036</v>
      </c>
      <c r="E39" s="5">
        <v>1.7942</v>
      </c>
      <c r="F39" s="5">
        <v>1.776</v>
      </c>
      <c r="G39" s="5">
        <v>1.7544</v>
      </c>
      <c r="H39" s="5">
        <v>1.7295</v>
      </c>
      <c r="I39" s="5">
        <v>1.7197</v>
      </c>
      <c r="J39" s="5">
        <v>1.70355</v>
      </c>
      <c r="K39" s="5">
        <v>1.6874</v>
      </c>
      <c r="L39" s="5">
        <v>1.68175</v>
      </c>
      <c r="M39" s="5">
        <v>1.6761</v>
      </c>
      <c r="N39" s="5">
        <v>1.677</v>
      </c>
      <c r="O39" s="5">
        <v>1.6779</v>
      </c>
      <c r="P39" s="5">
        <v>1.68245</v>
      </c>
      <c r="Q39" s="5">
        <v>1.687</v>
      </c>
      <c r="R39" s="5">
        <v>1.6901</v>
      </c>
      <c r="S39" s="5">
        <v>1.6932</v>
      </c>
      <c r="T39" s="5">
        <v>1.70045</v>
      </c>
      <c r="U39" s="5">
        <v>1.7077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ht="12.75" customHeight="1">
      <c r="A40" s="1"/>
      <c r="B40" s="5">
        <v>18.0</v>
      </c>
      <c r="C40" s="5">
        <v>1.7593</v>
      </c>
      <c r="D40" s="5">
        <v>1.7742</v>
      </c>
      <c r="E40" s="5">
        <v>1.7929</v>
      </c>
      <c r="F40" s="5">
        <v>1.7677</v>
      </c>
      <c r="G40" s="5">
        <v>1.7768</v>
      </c>
      <c r="H40" s="5">
        <v>1.7491</v>
      </c>
      <c r="I40" s="5">
        <v>1.7282</v>
      </c>
      <c r="J40" s="5">
        <v>1.7121</v>
      </c>
      <c r="K40" s="5">
        <v>1.696</v>
      </c>
      <c r="L40" s="5">
        <v>1.69015</v>
      </c>
      <c r="M40" s="5">
        <v>1.6843</v>
      </c>
      <c r="N40" s="5">
        <v>1.6854</v>
      </c>
      <c r="O40" s="5">
        <v>1.6865</v>
      </c>
      <c r="P40" s="5">
        <v>1.6906</v>
      </c>
      <c r="Q40" s="5">
        <v>1.6947</v>
      </c>
      <c r="R40" s="5">
        <v>1.70065</v>
      </c>
      <c r="S40" s="5">
        <v>1.7066</v>
      </c>
      <c r="T40" s="5">
        <v>1.7129</v>
      </c>
      <c r="U40" s="5">
        <v>1.7192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ht="12.75" customHeight="1">
      <c r="A41" s="1"/>
      <c r="B41" s="5">
        <v>18.5</v>
      </c>
      <c r="C41" s="5">
        <v>1.65885</v>
      </c>
      <c r="D41" s="5">
        <v>1.7114</v>
      </c>
      <c r="E41" s="5">
        <v>1.7534</v>
      </c>
      <c r="F41" s="5">
        <v>1.7602</v>
      </c>
      <c r="G41" s="5">
        <v>1.7625</v>
      </c>
      <c r="H41" s="5">
        <v>1.756</v>
      </c>
      <c r="I41" s="5">
        <v>1.7368</v>
      </c>
      <c r="J41" s="5">
        <v>1.72615</v>
      </c>
      <c r="K41" s="5">
        <v>1.7155</v>
      </c>
      <c r="L41" s="5">
        <v>1.70745</v>
      </c>
      <c r="M41" s="5">
        <v>1.6994</v>
      </c>
      <c r="N41" s="5">
        <v>1.6987</v>
      </c>
      <c r="O41" s="5">
        <v>1.698</v>
      </c>
      <c r="P41" s="5">
        <v>1.70155</v>
      </c>
      <c r="Q41" s="5">
        <v>1.7051</v>
      </c>
      <c r="R41" s="5">
        <v>1.7082</v>
      </c>
      <c r="S41" s="5">
        <v>1.7113</v>
      </c>
      <c r="T41" s="5">
        <v>1.71555</v>
      </c>
      <c r="U41" s="5">
        <v>1.7198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ht="12.75" customHeight="1">
      <c r="A42" s="1"/>
      <c r="B42" s="5">
        <v>19.0</v>
      </c>
      <c r="C42" s="5">
        <v>1.5584</v>
      </c>
      <c r="D42" s="5">
        <v>1.6459</v>
      </c>
      <c r="E42" s="5">
        <v>1.7146</v>
      </c>
      <c r="F42" s="5">
        <v>1.7439</v>
      </c>
      <c r="G42" s="5">
        <v>1.7417</v>
      </c>
      <c r="H42" s="5">
        <v>1.7544</v>
      </c>
      <c r="I42" s="5">
        <v>1.7514</v>
      </c>
      <c r="J42" s="5">
        <v>1.73785</v>
      </c>
      <c r="K42" s="5">
        <v>1.7243</v>
      </c>
      <c r="L42" s="5">
        <v>1.71645</v>
      </c>
      <c r="M42" s="5">
        <v>1.7086</v>
      </c>
      <c r="N42" s="5">
        <v>1.70745</v>
      </c>
      <c r="O42" s="5">
        <v>1.7063</v>
      </c>
      <c r="P42" s="5">
        <v>1.70795</v>
      </c>
      <c r="Q42" s="5">
        <v>1.7096</v>
      </c>
      <c r="R42" s="5">
        <v>1.7142</v>
      </c>
      <c r="S42" s="5">
        <v>1.7188</v>
      </c>
      <c r="T42" s="5">
        <v>1.724</v>
      </c>
      <c r="U42" s="5">
        <v>1.7292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ht="12.75" customHeight="1">
      <c r="A43" s="1"/>
      <c r="B43" s="5">
        <v>19.5</v>
      </c>
      <c r="C43" s="5">
        <v>1.5209</v>
      </c>
      <c r="D43" s="5">
        <v>1.5802</v>
      </c>
      <c r="E43" s="5">
        <v>1.6774</v>
      </c>
      <c r="F43" s="5">
        <v>1.7156</v>
      </c>
      <c r="G43" s="5">
        <v>1.7126</v>
      </c>
      <c r="H43" s="5">
        <v>1.7523</v>
      </c>
      <c r="I43" s="5">
        <v>1.744</v>
      </c>
      <c r="J43" s="5">
        <v>1.73615</v>
      </c>
      <c r="K43" s="5">
        <v>1.7283</v>
      </c>
      <c r="L43" s="5">
        <v>1.72155</v>
      </c>
      <c r="M43" s="5">
        <v>1.7148</v>
      </c>
      <c r="N43" s="5">
        <v>1.7151</v>
      </c>
      <c r="O43" s="5">
        <v>1.7154</v>
      </c>
      <c r="P43" s="5">
        <v>1.71715</v>
      </c>
      <c r="Q43" s="5">
        <v>1.7189</v>
      </c>
      <c r="R43" s="5">
        <v>1.7227</v>
      </c>
      <c r="S43" s="5">
        <v>1.7265</v>
      </c>
      <c r="T43" s="5">
        <v>1.73025</v>
      </c>
      <c r="U43" s="5">
        <v>1.734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ht="12.75" customHeight="1">
      <c r="A44" s="1"/>
      <c r="B44" s="5">
        <v>20.0</v>
      </c>
      <c r="C44" s="5">
        <v>1.4496</v>
      </c>
      <c r="D44" s="5">
        <v>1.5251</v>
      </c>
      <c r="E44" s="5">
        <v>1.6402</v>
      </c>
      <c r="F44" s="5">
        <v>1.6726</v>
      </c>
      <c r="G44" s="5">
        <v>1.6774</v>
      </c>
      <c r="H44" s="5">
        <v>1.726</v>
      </c>
      <c r="I44" s="5">
        <v>1.7345</v>
      </c>
      <c r="J44" s="5">
        <v>1.73365</v>
      </c>
      <c r="K44" s="5">
        <v>1.7328</v>
      </c>
      <c r="L44" s="5">
        <v>1.73015</v>
      </c>
      <c r="M44" s="5">
        <v>1.7275</v>
      </c>
      <c r="N44" s="5">
        <v>1.72575</v>
      </c>
      <c r="O44" s="5">
        <v>1.724</v>
      </c>
      <c r="P44" s="5">
        <v>1.7253</v>
      </c>
      <c r="Q44" s="5">
        <v>1.7266</v>
      </c>
      <c r="R44" s="5">
        <v>1.72825</v>
      </c>
      <c r="S44" s="5">
        <v>1.7299</v>
      </c>
      <c r="T44" s="5">
        <v>1.7321</v>
      </c>
      <c r="U44" s="5">
        <v>1.7343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ht="12.75" customHeight="1">
      <c r="A45" s="1"/>
      <c r="B45" s="5">
        <v>20.5</v>
      </c>
      <c r="C45" s="5">
        <v>1.3783</v>
      </c>
      <c r="D45" s="5">
        <v>1.399</v>
      </c>
      <c r="E45" s="5">
        <v>1.5523</v>
      </c>
      <c r="F45" s="5">
        <v>1.5787</v>
      </c>
      <c r="G45" s="5">
        <v>1.634</v>
      </c>
      <c r="H45" s="5">
        <v>1.6945</v>
      </c>
      <c r="I45" s="5">
        <v>1.719</v>
      </c>
      <c r="J45" s="5">
        <v>1.72675</v>
      </c>
      <c r="K45" s="5">
        <v>1.7345</v>
      </c>
      <c r="L45" s="5">
        <v>1.7337</v>
      </c>
      <c r="M45" s="5">
        <v>1.7329</v>
      </c>
      <c r="N45" s="5">
        <v>1.73155</v>
      </c>
      <c r="O45" s="5">
        <v>1.7302</v>
      </c>
      <c r="P45" s="5">
        <v>1.73</v>
      </c>
      <c r="Q45" s="5">
        <v>1.7298</v>
      </c>
      <c r="R45" s="5">
        <v>1.7318</v>
      </c>
      <c r="S45" s="5">
        <v>1.7338</v>
      </c>
      <c r="T45" s="5">
        <v>1.73745</v>
      </c>
      <c r="U45" s="5">
        <v>1.7411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ht="12.75" customHeight="1">
      <c r="A46" s="1"/>
      <c r="B46" s="5">
        <v>21.0</v>
      </c>
      <c r="C46" s="5">
        <v>1.3917</v>
      </c>
      <c r="D46" s="5">
        <v>1.4038</v>
      </c>
      <c r="E46" s="5">
        <v>1.4644</v>
      </c>
      <c r="F46" s="5">
        <v>1.5072</v>
      </c>
      <c r="G46" s="5">
        <v>1.5827</v>
      </c>
      <c r="H46" s="5">
        <v>1.6563</v>
      </c>
      <c r="I46" s="5">
        <v>1.6956</v>
      </c>
      <c r="J46" s="5">
        <v>1.7098</v>
      </c>
      <c r="K46" s="5">
        <v>1.724</v>
      </c>
      <c r="L46" s="5">
        <v>1.72925</v>
      </c>
      <c r="M46" s="5">
        <v>1.7345</v>
      </c>
      <c r="N46" s="5">
        <v>1.7339</v>
      </c>
      <c r="O46" s="5">
        <v>1.7333</v>
      </c>
      <c r="P46" s="5">
        <v>1.73415</v>
      </c>
      <c r="Q46" s="5">
        <v>1.735</v>
      </c>
      <c r="R46" s="5">
        <v>1.73745</v>
      </c>
      <c r="S46" s="5">
        <v>1.7399</v>
      </c>
      <c r="T46" s="5">
        <v>1.7431</v>
      </c>
      <c r="U46" s="5">
        <v>1.7463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ht="12.75" customHeight="1">
      <c r="A47" s="1"/>
      <c r="B47" s="5">
        <v>21.5</v>
      </c>
      <c r="C47" s="5">
        <v>1.4191</v>
      </c>
      <c r="D47" s="1">
        <v>1.417</v>
      </c>
      <c r="E47" s="1">
        <v>1.4183</v>
      </c>
      <c r="F47" s="1">
        <v>1.4686</v>
      </c>
      <c r="G47" s="1">
        <v>1.5308</v>
      </c>
      <c r="H47" s="1">
        <v>1.6132</v>
      </c>
      <c r="I47" s="1">
        <v>1.663</v>
      </c>
      <c r="J47" s="1">
        <v>1.6836</v>
      </c>
      <c r="K47" s="1">
        <v>1.7042</v>
      </c>
      <c r="L47" s="1">
        <v>1.71825</v>
      </c>
      <c r="M47" s="1">
        <v>1.7323</v>
      </c>
      <c r="N47" s="1">
        <v>1.73265</v>
      </c>
      <c r="O47" s="1">
        <v>1.733</v>
      </c>
      <c r="P47" s="1">
        <v>1.73505</v>
      </c>
      <c r="Q47" s="1">
        <v>1.7371</v>
      </c>
      <c r="R47" s="1">
        <v>1.73965</v>
      </c>
      <c r="S47" s="1">
        <v>1.7422</v>
      </c>
      <c r="T47" s="1">
        <v>1.745</v>
      </c>
      <c r="U47" s="1">
        <v>1.7478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ht="12.75" customHeight="1">
      <c r="A48" s="1"/>
      <c r="B48" s="5">
        <v>22.0</v>
      </c>
      <c r="C48" s="5">
        <v>1.4207</v>
      </c>
      <c r="D48" s="5">
        <v>1.4654</v>
      </c>
      <c r="E48" s="1">
        <v>1.4457</v>
      </c>
      <c r="F48" s="1">
        <v>1.4244</v>
      </c>
      <c r="G48" s="1">
        <v>1.4912</v>
      </c>
      <c r="H48" s="1">
        <v>1.5667</v>
      </c>
      <c r="I48" s="1">
        <v>1.6006</v>
      </c>
      <c r="J48" s="1">
        <v>1.63825</v>
      </c>
      <c r="K48" s="1">
        <v>1.6759</v>
      </c>
      <c r="L48" s="1">
        <v>1.69765</v>
      </c>
      <c r="M48" s="1">
        <v>1.7194</v>
      </c>
      <c r="N48" s="1">
        <v>1.72405</v>
      </c>
      <c r="O48" s="1">
        <v>1.7287</v>
      </c>
      <c r="P48" s="1">
        <v>1.73275</v>
      </c>
      <c r="Q48" s="1">
        <v>1.7368</v>
      </c>
      <c r="R48" s="1">
        <v>1.73935</v>
      </c>
      <c r="S48" s="1">
        <v>1.7419</v>
      </c>
      <c r="T48" s="1">
        <v>1.7416</v>
      </c>
      <c r="U48" s="1">
        <v>1.7413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ht="12.75" customHeight="1">
      <c r="A49" s="1"/>
      <c r="B49" s="5">
        <v>22.5</v>
      </c>
      <c r="C49" s="5">
        <v>1.4182</v>
      </c>
      <c r="D49" s="5">
        <v>1.4233</v>
      </c>
      <c r="E49" s="1">
        <v>1.4273</v>
      </c>
      <c r="F49" s="1">
        <v>1.4296</v>
      </c>
      <c r="G49" s="1">
        <v>1.4279</v>
      </c>
      <c r="H49" s="1">
        <v>1.5195</v>
      </c>
      <c r="I49" s="1">
        <v>1.5068</v>
      </c>
      <c r="J49" s="1">
        <v>1.5719</v>
      </c>
      <c r="K49" s="1">
        <v>1.637</v>
      </c>
      <c r="L49" s="1">
        <v>1.66745</v>
      </c>
      <c r="M49" s="1">
        <v>1.6979</v>
      </c>
      <c r="N49" s="1">
        <v>1.70925</v>
      </c>
      <c r="O49" s="1">
        <v>1.7206</v>
      </c>
      <c r="P49" s="1">
        <v>1.7271</v>
      </c>
      <c r="Q49" s="1">
        <v>1.7336</v>
      </c>
      <c r="R49" s="1">
        <v>1.73355</v>
      </c>
      <c r="S49" s="1">
        <v>1.7335</v>
      </c>
      <c r="T49" s="1">
        <v>1.73755</v>
      </c>
      <c r="U49" s="1">
        <v>1.7416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ht="12.75" customHeight="1">
      <c r="A50" s="1"/>
      <c r="B50" s="5">
        <v>23.0</v>
      </c>
      <c r="C50" s="5">
        <v>1.426</v>
      </c>
      <c r="D50" s="5">
        <v>1.4491</v>
      </c>
      <c r="E50" s="1">
        <v>1.453</v>
      </c>
      <c r="F50" s="1">
        <v>1.4569</v>
      </c>
      <c r="G50" s="1">
        <v>1.4295</v>
      </c>
      <c r="H50" s="1">
        <v>1.4433</v>
      </c>
      <c r="I50" s="1">
        <v>1.4292</v>
      </c>
      <c r="J50" s="1">
        <v>1.5057</v>
      </c>
      <c r="K50" s="1">
        <v>1.5822</v>
      </c>
      <c r="L50" s="1">
        <v>1.6287</v>
      </c>
      <c r="M50" s="1">
        <v>1.6752</v>
      </c>
      <c r="N50" s="1">
        <v>1.6918</v>
      </c>
      <c r="O50" s="1">
        <v>1.7084</v>
      </c>
      <c r="P50" s="1">
        <v>1.717</v>
      </c>
      <c r="Q50" s="1">
        <v>1.7256</v>
      </c>
      <c r="R50" s="1">
        <v>1.72615</v>
      </c>
      <c r="S50" s="1">
        <v>1.7267</v>
      </c>
      <c r="T50" s="1">
        <v>1.732</v>
      </c>
      <c r="U50" s="1">
        <v>1.7373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ht="12.75" customHeight="1">
      <c r="A53" s="1"/>
      <c r="B53" s="1"/>
      <c r="C53" s="1" t="s">
        <v>8</v>
      </c>
      <c r="D53" s="1" t="s">
        <v>8</v>
      </c>
      <c r="E53" s="1" t="s">
        <v>8</v>
      </c>
      <c r="F53" s="1" t="s">
        <v>8</v>
      </c>
      <c r="G53" s="1" t="s">
        <v>8</v>
      </c>
      <c r="H53" s="1" t="s">
        <v>8</v>
      </c>
      <c r="I53" s="1" t="s">
        <v>8</v>
      </c>
      <c r="J53" s="1" t="s">
        <v>8</v>
      </c>
      <c r="K53" s="1" t="s">
        <v>8</v>
      </c>
      <c r="L53" s="1" t="s">
        <v>8</v>
      </c>
      <c r="M53" s="1" t="s">
        <v>8</v>
      </c>
      <c r="N53" s="1" t="s">
        <v>8</v>
      </c>
      <c r="O53" s="1" t="s">
        <v>8</v>
      </c>
      <c r="P53" s="1" t="s">
        <v>8</v>
      </c>
      <c r="Q53" s="1" t="s">
        <v>8</v>
      </c>
      <c r="R53" s="1" t="s">
        <v>8</v>
      </c>
      <c r="S53" s="1" t="s">
        <v>8</v>
      </c>
      <c r="T53" s="1" t="s">
        <v>8</v>
      </c>
      <c r="U53" s="1" t="s">
        <v>8</v>
      </c>
      <c r="V53" s="1"/>
      <c r="W53" s="1" t="s">
        <v>1</v>
      </c>
      <c r="X53" s="1"/>
      <c r="Y53" s="1"/>
      <c r="Z53" s="1"/>
      <c r="AA53" s="1"/>
      <c r="AB53" s="1" t="s">
        <v>2</v>
      </c>
      <c r="AC53" s="1" t="s">
        <v>3</v>
      </c>
      <c r="AE53" s="1"/>
      <c r="AF53" s="1"/>
      <c r="AG53" s="1"/>
      <c r="AH53" s="1"/>
      <c r="AI53" s="1" t="s">
        <v>4</v>
      </c>
      <c r="AK53" s="1" t="s">
        <v>5</v>
      </c>
      <c r="AM53" s="1" t="s">
        <v>6</v>
      </c>
      <c r="AN53" s="1" t="s">
        <v>7</v>
      </c>
      <c r="AO53" s="1" t="s">
        <v>8</v>
      </c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ht="12.75" customHeight="1">
      <c r="A54" s="1"/>
      <c r="B54" s="1"/>
      <c r="C54" s="1">
        <v>50000.0</v>
      </c>
      <c r="D54" s="1">
        <v>75000.0</v>
      </c>
      <c r="E54" s="1">
        <v>100000.0</v>
      </c>
      <c r="F54" s="1">
        <v>125000.0</v>
      </c>
      <c r="G54" s="1">
        <v>150000.0</v>
      </c>
      <c r="H54" s="1">
        <v>175000.0</v>
      </c>
      <c r="I54" s="1">
        <v>200000.0</v>
      </c>
      <c r="J54" s="1">
        <v>225000.0</v>
      </c>
      <c r="K54" s="1">
        <v>250000.0</v>
      </c>
      <c r="L54" s="1">
        <v>275000.0</v>
      </c>
      <c r="M54" s="1">
        <v>300000.0</v>
      </c>
      <c r="N54" s="1">
        <v>325000.0</v>
      </c>
      <c r="O54" s="1">
        <v>350000.0</v>
      </c>
      <c r="P54" s="1">
        <v>375000.0</v>
      </c>
      <c r="Q54" s="1">
        <v>400000.0</v>
      </c>
      <c r="R54" s="1">
        <v>425000.0</v>
      </c>
      <c r="S54" s="1">
        <v>450000.0</v>
      </c>
      <c r="T54" s="1">
        <v>475000.0</v>
      </c>
      <c r="U54" s="1">
        <v>500000.0</v>
      </c>
      <c r="V54" s="1"/>
      <c r="W54" s="2" t="str">
        <f>IF('расчет'!R22&lt;50000,50000,'расчет'!R22)</f>
        <v>163883.2139</v>
      </c>
      <c r="X54" s="2" t="str">
        <f t="shared" ref="X54:X70" si="28">IF((W54&gt;475000),475000,(ROUNDDOWN((W54/25000),0))*25000)</f>
        <v>150000</v>
      </c>
      <c r="Y54" s="2" t="str">
        <f t="shared" ref="Y54:Y70" si="29">X54+25000</f>
        <v>175000</v>
      </c>
      <c r="Z54" s="2" t="str">
        <f t="shared" ref="Z54:Z70" si="30">IF((W54&gt;500000),0,(Y54-W54)/25000)</f>
        <v>0.444671445</v>
      </c>
      <c r="AA54" s="2" t="str">
        <f t="shared" ref="AA54:AA70" si="31">1-Z54</f>
        <v>0.555328555</v>
      </c>
      <c r="AB54" s="2" t="str">
        <f>'расчет'!P22</f>
        <v>7.018095386</v>
      </c>
      <c r="AC54" s="1">
        <v>0.0</v>
      </c>
      <c r="AD54" s="1">
        <v>23.0</v>
      </c>
      <c r="AE54" s="2" t="str">
        <f t="shared" ref="AE54:AE70" si="33">IF(AB54&gt;0,ROUNDDOWN((AB54/0.5),0)*0.5,ROUNDUP((AB54/0.5),0)*0.5)</f>
        <v>7</v>
      </c>
      <c r="AF54" s="2" t="str">
        <f t="shared" ref="AF54:AF70" si="34">AE54+0.5</f>
        <v>7.5</v>
      </c>
      <c r="AG54" s="2" t="str">
        <f t="shared" ref="AG54:AG70" si="35">(AF54-AB54)/0.5</f>
        <v>0.9638092287</v>
      </c>
      <c r="AH54" s="2" t="str">
        <f t="shared" ref="AH54:AH70" si="36">1-AG54</f>
        <v>0.03619077129</v>
      </c>
      <c r="AI54" s="2" t="str">
        <f>VLOOKUP(AE54,B55:U101,(X54/25000),FALSE)</f>
        <v>13.78350126</v>
      </c>
      <c r="AJ54" s="2" t="str">
        <f>VLOOKUP(AF54,B55:U101,(X54/25000),FALSE)</f>
        <v>14.36602569</v>
      </c>
      <c r="AK54" s="2" t="str">
        <f>VLOOKUP(AE54,B55:U101,(Y54/25000),FALSE)</f>
        <v>18.55771789</v>
      </c>
      <c r="AL54" s="2" t="str">
        <f>VLOOKUP(AF54,B55:U101,(Y54/25000),FALSE)</f>
        <v>19.64472873</v>
      </c>
      <c r="AM54" s="2" t="str">
        <f t="shared" ref="AM54:AM70" si="37">AI54*AG54+AJ54*AH54</f>
        <v>13.80458327</v>
      </c>
      <c r="AN54" s="2" t="str">
        <f t="shared" ref="AN54:AN70" si="38">AK54*AG54+AL54*AH54</f>
        <v>18.59705765</v>
      </c>
      <c r="AO54" s="2" t="str">
        <f t="shared" ref="AO54:AO70" si="39">AM54*Z54+AN54*AA54</f>
        <v>16.46598114</v>
      </c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ht="12.75" customHeight="1">
      <c r="A55" s="1"/>
      <c r="B55" s="5">
        <v>0.0</v>
      </c>
      <c r="C55" s="5">
        <v>1.0</v>
      </c>
      <c r="D55" s="5">
        <v>1.0</v>
      </c>
      <c r="E55" s="5">
        <v>1.0</v>
      </c>
      <c r="F55" s="5">
        <v>1.0</v>
      </c>
      <c r="G55" s="5">
        <v>2.603769589</v>
      </c>
      <c r="H55" s="5">
        <v>4.000463553</v>
      </c>
      <c r="I55" s="5">
        <v>5.688507807</v>
      </c>
      <c r="J55" s="5">
        <v>7.207758169</v>
      </c>
      <c r="K55" s="5">
        <v>9.035959036</v>
      </c>
      <c r="L55" s="5">
        <v>11.27801826</v>
      </c>
      <c r="M55" s="5">
        <v>14.09240286</v>
      </c>
      <c r="N55" s="5">
        <v>17.20190952</v>
      </c>
      <c r="O55" s="5">
        <v>21.17952522</v>
      </c>
      <c r="P55" s="5">
        <v>33.47116431</v>
      </c>
      <c r="Q55" s="5">
        <v>67.28571429</v>
      </c>
      <c r="R55" s="5">
        <v>44.70581705</v>
      </c>
      <c r="S55" s="5">
        <v>33.7656559</v>
      </c>
      <c r="T55" s="5">
        <v>37.05742887</v>
      </c>
      <c r="U55" s="5">
        <v>40.81203008</v>
      </c>
      <c r="V55" s="1"/>
      <c r="W55" s="2" t="str">
        <f>IF('расчет'!R23&lt;50000,50000,'расчет'!R23)</f>
        <v>161126.0378</v>
      </c>
      <c r="X55" s="2" t="str">
        <f t="shared" si="28"/>
        <v>150000</v>
      </c>
      <c r="Y55" s="2" t="str">
        <f t="shared" si="29"/>
        <v>175000</v>
      </c>
      <c r="Z55" s="2" t="str">
        <f t="shared" si="30"/>
        <v>0.5549584897</v>
      </c>
      <c r="AA55" s="2" t="str">
        <f t="shared" si="31"/>
        <v>0.4450415103</v>
      </c>
      <c r="AB55" s="2" t="str">
        <f>'расчет'!P23</f>
        <v>7.75866912</v>
      </c>
      <c r="AC55" s="2" t="str">
        <f t="shared" ref="AC55:AD55" si="32">AC54</f>
        <v>0</v>
      </c>
      <c r="AD55" s="2" t="str">
        <f t="shared" si="32"/>
        <v>23</v>
      </c>
      <c r="AE55" s="2" t="str">
        <f t="shared" si="33"/>
        <v>7.5</v>
      </c>
      <c r="AF55" s="2" t="str">
        <f t="shared" si="34"/>
        <v>8</v>
      </c>
      <c r="AG55" s="2" t="str">
        <f t="shared" si="35"/>
        <v>0.4826617596</v>
      </c>
      <c r="AH55" s="2" t="str">
        <f t="shared" si="36"/>
        <v>0.5173382404</v>
      </c>
      <c r="AI55" s="2" t="str">
        <f>VLOOKUP(AE55,B55:U101,(X55/25000),FALSE)</f>
        <v>14.36602569</v>
      </c>
      <c r="AJ55" s="2" t="str">
        <f>VLOOKUP(AF55,B55:U101,(X55/25000),FALSE)</f>
        <v>14.94440976</v>
      </c>
      <c r="AK55" s="2" t="str">
        <f>VLOOKUP(AE55,B55:U101,(Y55/25000),FALSE)</f>
        <v>19.64472873</v>
      </c>
      <c r="AL55" s="2" t="str">
        <f>VLOOKUP(AF55,B55:U101,(Y55/25000),FALSE)</f>
        <v>20.7620629</v>
      </c>
      <c r="AM55" s="2" t="str">
        <f t="shared" si="37"/>
        <v>14.66524589</v>
      </c>
      <c r="AN55" s="2" t="str">
        <f t="shared" si="38"/>
        <v>20.22276842</v>
      </c>
      <c r="AO55" s="2" t="str">
        <f t="shared" si="39"/>
        <v>17.13857411</v>
      </c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ht="12.75" customHeight="1">
      <c r="A56" s="1"/>
      <c r="B56" s="5">
        <v>0.5</v>
      </c>
      <c r="C56" s="5">
        <v>1.0</v>
      </c>
      <c r="D56" s="5">
        <v>1.0</v>
      </c>
      <c r="E56" s="5">
        <v>1.0</v>
      </c>
      <c r="F56" s="5">
        <v>1.115777417</v>
      </c>
      <c r="G56" s="5">
        <v>2.811360371</v>
      </c>
      <c r="H56" s="5">
        <v>4.726411567</v>
      </c>
      <c r="I56" s="5">
        <v>6.774645912</v>
      </c>
      <c r="J56" s="5">
        <v>8.652465081</v>
      </c>
      <c r="K56" s="5">
        <v>10.90875902</v>
      </c>
      <c r="L56" s="5">
        <v>13.67077341</v>
      </c>
      <c r="M56" s="5">
        <v>17.12999437</v>
      </c>
      <c r="N56" s="5">
        <v>21.24070576</v>
      </c>
      <c r="O56" s="5">
        <v>26.72011252</v>
      </c>
      <c r="P56" s="5">
        <v>36.41756272</v>
      </c>
      <c r="Q56" s="5">
        <v>53.44197531</v>
      </c>
      <c r="R56" s="5">
        <v>47.17921527</v>
      </c>
      <c r="S56" s="5">
        <v>42.46468401</v>
      </c>
      <c r="T56" s="5">
        <v>44.13561676</v>
      </c>
      <c r="U56" s="5">
        <v>45.93699904</v>
      </c>
      <c r="V56" s="1"/>
      <c r="W56" s="2" t="str">
        <f>IF('расчет'!R24&lt;50000,50000,'расчет'!R24)</f>
        <v>158297.851</v>
      </c>
      <c r="X56" s="2" t="str">
        <f t="shared" si="28"/>
        <v>150000</v>
      </c>
      <c r="Y56" s="2" t="str">
        <f t="shared" si="29"/>
        <v>175000</v>
      </c>
      <c r="Z56" s="2" t="str">
        <f t="shared" si="30"/>
        <v>0.6680859584</v>
      </c>
      <c r="AA56" s="2" t="str">
        <f t="shared" si="31"/>
        <v>0.3319140416</v>
      </c>
      <c r="AB56" s="2" t="str">
        <f>'расчет'!P24</f>
        <v>8.407959642</v>
      </c>
      <c r="AC56" s="2" t="str">
        <f t="shared" ref="AC56:AD56" si="40">AC55</f>
        <v>0</v>
      </c>
      <c r="AD56" s="2" t="str">
        <f t="shared" si="40"/>
        <v>23</v>
      </c>
      <c r="AE56" s="2" t="str">
        <f t="shared" si="33"/>
        <v>8</v>
      </c>
      <c r="AF56" s="2" t="str">
        <f t="shared" si="34"/>
        <v>8.5</v>
      </c>
      <c r="AG56" s="2" t="str">
        <f t="shared" si="35"/>
        <v>0.1840807162</v>
      </c>
      <c r="AH56" s="2" t="str">
        <f t="shared" si="36"/>
        <v>0.8159192838</v>
      </c>
      <c r="AI56" s="2" t="str">
        <f>VLOOKUP(AE56,B55:U101,(X56/25000),FALSE)</f>
        <v>14.94440976</v>
      </c>
      <c r="AJ56" s="2" t="str">
        <f>VLOOKUP(AF56,B55:U101,(X56/25000),FALSE)</f>
        <v>14.79927885</v>
      </c>
      <c r="AK56" s="2" t="str">
        <f>VLOOKUP(AE56,B55:U101,(Y56/25000),FALSE)</f>
        <v>20.7620629</v>
      </c>
      <c r="AL56" s="2" t="str">
        <f>VLOOKUP(AF56,B55:U101,(Y56/25000),FALSE)</f>
        <v>21.91100721</v>
      </c>
      <c r="AM56" s="2" t="str">
        <f t="shared" si="37"/>
        <v>14.82599465</v>
      </c>
      <c r="AN56" s="2" t="str">
        <f t="shared" si="38"/>
        <v>21.69950872</v>
      </c>
      <c r="AO56" s="2" t="str">
        <f t="shared" si="39"/>
        <v>17.10741049</v>
      </c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ht="12.75" customHeight="1">
      <c r="A57" s="1"/>
      <c r="B57" s="5">
        <v>1.0</v>
      </c>
      <c r="C57" s="5">
        <v>1.0</v>
      </c>
      <c r="D57" s="5">
        <v>1.0</v>
      </c>
      <c r="E57" s="5">
        <v>1.0529274</v>
      </c>
      <c r="F57" s="5">
        <v>1.423449612</v>
      </c>
      <c r="G57" s="5">
        <v>4.875144509</v>
      </c>
      <c r="H57" s="5">
        <v>5.844247109</v>
      </c>
      <c r="I57" s="5">
        <v>8.164069561</v>
      </c>
      <c r="J57" s="5">
        <v>10.33208798</v>
      </c>
      <c r="K57" s="5">
        <v>13.00455325</v>
      </c>
      <c r="L57" s="5">
        <v>16.38070381</v>
      </c>
      <c r="M57" s="5">
        <v>20.78060869</v>
      </c>
      <c r="N57" s="5">
        <v>26.82829745</v>
      </c>
      <c r="O57" s="5">
        <v>35.32137031</v>
      </c>
      <c r="P57" s="5">
        <v>39.99822852</v>
      </c>
      <c r="Q57" s="5">
        <v>45.55426357</v>
      </c>
      <c r="R57" s="5">
        <v>49.28366762</v>
      </c>
      <c r="S57" s="5">
        <v>53.45620121</v>
      </c>
      <c r="T57" s="5">
        <v>52.61711673</v>
      </c>
      <c r="U57" s="5">
        <v>51.78681771</v>
      </c>
      <c r="V57" s="1"/>
      <c r="W57" s="2" t="str">
        <f>IF('расчет'!R25&lt;50000,50000,'расчет'!R25)</f>
        <v>155303.7932</v>
      </c>
      <c r="X57" s="2" t="str">
        <f t="shared" si="28"/>
        <v>150000</v>
      </c>
      <c r="Y57" s="2" t="str">
        <f t="shared" si="29"/>
        <v>175000</v>
      </c>
      <c r="Z57" s="2" t="str">
        <f t="shared" si="30"/>
        <v>0.7878482728</v>
      </c>
      <c r="AA57" s="2" t="str">
        <f t="shared" si="31"/>
        <v>0.2121517272</v>
      </c>
      <c r="AB57" s="2" t="str">
        <f>'расчет'!P25</f>
        <v>8.972215942</v>
      </c>
      <c r="AC57" s="2" t="str">
        <f t="shared" ref="AC57:AD57" si="41">AC56</f>
        <v>0</v>
      </c>
      <c r="AD57" s="2" t="str">
        <f t="shared" si="41"/>
        <v>23</v>
      </c>
      <c r="AE57" s="2" t="str">
        <f t="shared" si="33"/>
        <v>8.5</v>
      </c>
      <c r="AF57" s="2" t="str">
        <f t="shared" si="34"/>
        <v>9</v>
      </c>
      <c r="AG57" s="2" t="str">
        <f t="shared" si="35"/>
        <v>0.05556811655</v>
      </c>
      <c r="AH57" s="2" t="str">
        <f t="shared" si="36"/>
        <v>0.9444318834</v>
      </c>
      <c r="AI57" s="2" t="str">
        <f>VLOOKUP(AE57,B55:U101,(X57/25000),FALSE)</f>
        <v>14.79927885</v>
      </c>
      <c r="AJ57" s="2" t="str">
        <f>VLOOKUP(AF57,B55:U101,(X57/25000),FALSE)</f>
        <v>16.38059701</v>
      </c>
      <c r="AK57" s="2" t="str">
        <f>VLOOKUP(AE57,B55:U101,(Y57/25000),FALSE)</f>
        <v>21.91100721</v>
      </c>
      <c r="AL57" s="2" t="str">
        <f>VLOOKUP(AF57,B55:U101,(Y57/25000),FALSE)</f>
        <v>23.09292231</v>
      </c>
      <c r="AM57" s="2" t="str">
        <f t="shared" si="37"/>
        <v>16.29272614</v>
      </c>
      <c r="AN57" s="2" t="str">
        <f t="shared" si="38"/>
        <v>23.02724551</v>
      </c>
      <c r="AO57" s="2" t="str">
        <f t="shared" si="39"/>
        <v>17.72146606</v>
      </c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ht="12.75" customHeight="1">
      <c r="A58" s="1"/>
      <c r="B58" s="5">
        <v>1.5</v>
      </c>
      <c r="C58" s="5">
        <v>1.0</v>
      </c>
      <c r="D58" s="5">
        <v>1.142040741</v>
      </c>
      <c r="E58" s="5">
        <v>2.448831733</v>
      </c>
      <c r="F58" s="5">
        <v>2.520797835</v>
      </c>
      <c r="G58" s="5">
        <v>4.470381098</v>
      </c>
      <c r="H58" s="5">
        <v>7.01965924</v>
      </c>
      <c r="I58" s="5">
        <v>9.643203702</v>
      </c>
      <c r="J58" s="5">
        <v>12.16352674</v>
      </c>
      <c r="K58" s="5">
        <v>15.35837631</v>
      </c>
      <c r="L58" s="5">
        <v>19.54037742</v>
      </c>
      <c r="M58" s="5">
        <v>25.25064599</v>
      </c>
      <c r="N58" s="5">
        <v>31.8304618</v>
      </c>
      <c r="O58" s="5">
        <v>40.77064864</v>
      </c>
      <c r="P58" s="5">
        <v>45.10875206</v>
      </c>
      <c r="Q58" s="5">
        <v>50.15098959</v>
      </c>
      <c r="R58" s="5">
        <v>51.33666979</v>
      </c>
      <c r="S58" s="5">
        <v>52.57569296</v>
      </c>
      <c r="T58" s="5">
        <v>55.43298009</v>
      </c>
      <c r="U58" s="5">
        <v>58.52696712</v>
      </c>
      <c r="V58" s="1"/>
      <c r="W58" s="2" t="str">
        <f>IF('расчет'!R26&lt;50000,50000,'расчет'!R26)</f>
        <v>152048.384</v>
      </c>
      <c r="X58" s="2" t="str">
        <f t="shared" si="28"/>
        <v>150000</v>
      </c>
      <c r="Y58" s="2" t="str">
        <f t="shared" si="29"/>
        <v>175000</v>
      </c>
      <c r="Z58" s="2" t="str">
        <f t="shared" si="30"/>
        <v>0.9180646404</v>
      </c>
      <c r="AA58" s="2" t="str">
        <f t="shared" si="31"/>
        <v>0.08193535957</v>
      </c>
      <c r="AB58" s="2" t="str">
        <f>'расчет'!P26</f>
        <v>9.459475009</v>
      </c>
      <c r="AC58" s="2" t="str">
        <f t="shared" ref="AC58:AD58" si="42">AC57</f>
        <v>0</v>
      </c>
      <c r="AD58" s="2" t="str">
        <f t="shared" si="42"/>
        <v>23</v>
      </c>
      <c r="AE58" s="2" t="str">
        <f t="shared" si="33"/>
        <v>9</v>
      </c>
      <c r="AF58" s="2" t="str">
        <f t="shared" si="34"/>
        <v>9.5</v>
      </c>
      <c r="AG58" s="2" t="str">
        <f t="shared" si="35"/>
        <v>0.08104998293</v>
      </c>
      <c r="AH58" s="2" t="str">
        <f t="shared" si="36"/>
        <v>0.9189500171</v>
      </c>
      <c r="AI58" s="2" t="str">
        <f>VLOOKUP(AE58,B55:U101,(X58/25000),FALSE)</f>
        <v>16.38059701</v>
      </c>
      <c r="AJ58" s="2" t="str">
        <f>VLOOKUP(AF58,B55:U101,(X58/25000),FALSE)</f>
        <v>18.72212578</v>
      </c>
      <c r="AK58" s="2" t="str">
        <f>VLOOKUP(AE58,B55:U101,(Y58/25000),FALSE)</f>
        <v>23.09292231</v>
      </c>
      <c r="AL58" s="2" t="str">
        <f>VLOOKUP(AF58,B55:U101,(Y58/25000),FALSE)</f>
        <v>24.30924808</v>
      </c>
      <c r="AM58" s="2" t="str">
        <f t="shared" si="37"/>
        <v>18.53234491</v>
      </c>
      <c r="AN58" s="2" t="str">
        <f t="shared" si="38"/>
        <v>24.2106649</v>
      </c>
      <c r="AO58" s="2" t="str">
        <f t="shared" si="39"/>
        <v>18.9976001</v>
      </c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ht="12.75" customHeight="1">
      <c r="A59" s="1"/>
      <c r="B59" s="5">
        <v>2.0</v>
      </c>
      <c r="C59" s="5">
        <v>1.09191243</v>
      </c>
      <c r="D59" s="5">
        <v>2.19723796</v>
      </c>
      <c r="E59" s="5">
        <v>2.68011257</v>
      </c>
      <c r="F59" s="5">
        <v>3.739581216</v>
      </c>
      <c r="G59" s="5">
        <v>5.888933975</v>
      </c>
      <c r="H59" s="5">
        <v>8.741400243</v>
      </c>
      <c r="I59" s="5">
        <v>11.22102665</v>
      </c>
      <c r="J59" s="5">
        <v>14.29693543</v>
      </c>
      <c r="K59" s="5">
        <v>18.29138808</v>
      </c>
      <c r="L59" s="5">
        <v>23.68805287</v>
      </c>
      <c r="M59" s="5">
        <v>31.38246215</v>
      </c>
      <c r="N59" s="5">
        <v>38.13452915</v>
      </c>
      <c r="O59" s="5">
        <v>47.11761353</v>
      </c>
      <c r="P59" s="5">
        <v>50.93387178</v>
      </c>
      <c r="Q59" s="5">
        <v>55.26066351</v>
      </c>
      <c r="R59" s="5">
        <v>59.8784961</v>
      </c>
      <c r="S59" s="5">
        <v>65.12983831</v>
      </c>
      <c r="T59" s="5">
        <v>65.74743926</v>
      </c>
      <c r="U59" s="5">
        <v>66.37744902</v>
      </c>
      <c r="V59" s="1"/>
      <c r="W59" s="2" t="str">
        <f>IF('расчет'!R27&lt;50000,50000,'расчет'!R27)</f>
        <v>148436.2342</v>
      </c>
      <c r="X59" s="2" t="str">
        <f t="shared" si="28"/>
        <v>125000</v>
      </c>
      <c r="Y59" s="2" t="str">
        <f t="shared" si="29"/>
        <v>150000</v>
      </c>
      <c r="Z59" s="2" t="str">
        <f t="shared" si="30"/>
        <v>0.06255063385</v>
      </c>
      <c r="AA59" s="2" t="str">
        <f t="shared" si="31"/>
        <v>0.9374493661</v>
      </c>
      <c r="AB59" s="2" t="str">
        <f>'расчет'!P27</f>
        <v>9.880167544</v>
      </c>
      <c r="AC59" s="2" t="str">
        <f t="shared" ref="AC59:AD59" si="43">AC58</f>
        <v>0</v>
      </c>
      <c r="AD59" s="2" t="str">
        <f t="shared" si="43"/>
        <v>23</v>
      </c>
      <c r="AE59" s="2" t="str">
        <f t="shared" si="33"/>
        <v>9.5</v>
      </c>
      <c r="AF59" s="2" t="str">
        <f t="shared" si="34"/>
        <v>10</v>
      </c>
      <c r="AG59" s="2" t="str">
        <f t="shared" si="35"/>
        <v>0.2396649114</v>
      </c>
      <c r="AH59" s="2" t="str">
        <f t="shared" si="36"/>
        <v>0.7603350886</v>
      </c>
      <c r="AI59" s="2" t="str">
        <f>VLOOKUP(AE59,B55:U101,(X59/25000),FALSE)</f>
        <v>12.06861164</v>
      </c>
      <c r="AJ59" s="2" t="str">
        <f>VLOOKUP(AF59,B55:U101,(X59/25000),FALSE)</f>
        <v>14.30878657</v>
      </c>
      <c r="AK59" s="2" t="str">
        <f>VLOOKUP(AE59,B55:U101,(Y59/25000),FALSE)</f>
        <v>18.72212578</v>
      </c>
      <c r="AL59" s="2" t="str">
        <f>VLOOKUP(AF59,B55:U101,(Y59/25000),FALSE)</f>
        <v>21.43557221</v>
      </c>
      <c r="AM59" s="2" t="str">
        <f t="shared" si="37"/>
        <v>13.77189524</v>
      </c>
      <c r="AN59" s="2" t="str">
        <f t="shared" si="38"/>
        <v>20.78525431</v>
      </c>
      <c r="AO59" s="2" t="str">
        <f t="shared" si="39"/>
        <v>20.34656426</v>
      </c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ht="12.75" customHeight="1">
      <c r="A60" s="1"/>
      <c r="B60" s="5">
        <v>2.5</v>
      </c>
      <c r="C60" s="5">
        <v>2.031167922</v>
      </c>
      <c r="D60" s="5">
        <v>2.589202316</v>
      </c>
      <c r="E60" s="5">
        <v>3.214601988</v>
      </c>
      <c r="F60" s="5">
        <v>4.423</v>
      </c>
      <c r="G60" s="5">
        <v>7.773727216</v>
      </c>
      <c r="H60" s="5">
        <v>9.762355126</v>
      </c>
      <c r="I60" s="5">
        <v>12.90775614</v>
      </c>
      <c r="J60" s="5">
        <v>16.44560765</v>
      </c>
      <c r="K60" s="5">
        <v>21.14325069</v>
      </c>
      <c r="L60" s="5">
        <v>27.68280319</v>
      </c>
      <c r="M60" s="5">
        <v>37.41172762</v>
      </c>
      <c r="N60" s="5">
        <v>44.84270819</v>
      </c>
      <c r="O60" s="5">
        <v>54.60399627</v>
      </c>
      <c r="P60" s="5">
        <v>57.63473541</v>
      </c>
      <c r="Q60" s="5">
        <v>60.97421857</v>
      </c>
      <c r="R60" s="5">
        <v>66.85870224</v>
      </c>
      <c r="S60" s="5">
        <v>73.53702745</v>
      </c>
      <c r="T60" s="5">
        <v>74.56065835</v>
      </c>
      <c r="U60" s="5">
        <v>75.6372549</v>
      </c>
      <c r="V60" s="1"/>
      <c r="W60" s="2" t="str">
        <f>IF('расчет'!R28&lt;50000,50000,'расчет'!R28)</f>
        <v>144372.9701</v>
      </c>
      <c r="X60" s="2" t="str">
        <f t="shared" si="28"/>
        <v>125000</v>
      </c>
      <c r="Y60" s="2" t="str">
        <f t="shared" si="29"/>
        <v>150000</v>
      </c>
      <c r="Z60" s="2" t="str">
        <f t="shared" si="30"/>
        <v>0.2250811965</v>
      </c>
      <c r="AA60" s="2" t="str">
        <f t="shared" si="31"/>
        <v>0.7749188035</v>
      </c>
      <c r="AB60" s="2" t="str">
        <f>'расчет'!P28</f>
        <v>10.2479629</v>
      </c>
      <c r="AC60" s="2" t="str">
        <f t="shared" ref="AC60:AD60" si="44">AC59</f>
        <v>0</v>
      </c>
      <c r="AD60" s="2" t="str">
        <f t="shared" si="44"/>
        <v>23</v>
      </c>
      <c r="AE60" s="2" t="str">
        <f t="shared" si="33"/>
        <v>10</v>
      </c>
      <c r="AF60" s="2" t="str">
        <f t="shared" si="34"/>
        <v>10.5</v>
      </c>
      <c r="AG60" s="2" t="str">
        <f t="shared" si="35"/>
        <v>0.5040741949</v>
      </c>
      <c r="AH60" s="2" t="str">
        <f t="shared" si="36"/>
        <v>0.4959258051</v>
      </c>
      <c r="AI60" s="2" t="str">
        <f>VLOOKUP(AE60,B55:U101,(X60/25000),FALSE)</f>
        <v>14.30878657</v>
      </c>
      <c r="AJ60" s="2" t="str">
        <f>VLOOKUP(AF60,B55:U101,(X60/25000),FALSE)</f>
        <v>15.74150418</v>
      </c>
      <c r="AK60" s="2" t="str">
        <f>VLOOKUP(AE60,B55:U101,(Y60/25000),FALSE)</f>
        <v>21.43557221</v>
      </c>
      <c r="AL60" s="2" t="str">
        <f>VLOOKUP(AF60,B55:U101,(Y60/25000),FALSE)</f>
        <v>24.61719117</v>
      </c>
      <c r="AM60" s="2" t="str">
        <f t="shared" si="37"/>
        <v>15.0193082</v>
      </c>
      <c r="AN60" s="2" t="str">
        <f t="shared" si="38"/>
        <v>23.01341915</v>
      </c>
      <c r="AO60" s="2" t="str">
        <f t="shared" si="39"/>
        <v>21.2140951</v>
      </c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ht="12.75" customHeight="1">
      <c r="A61" s="1"/>
      <c r="B61" s="5">
        <v>3.0</v>
      </c>
      <c r="C61" s="5">
        <v>2.225827385</v>
      </c>
      <c r="D61" s="5">
        <v>3.233465235</v>
      </c>
      <c r="E61" s="5">
        <v>4.461974492</v>
      </c>
      <c r="F61" s="5">
        <v>5.132478632</v>
      </c>
      <c r="G61" s="5">
        <v>7.592733008</v>
      </c>
      <c r="H61" s="5">
        <v>10.82450354</v>
      </c>
      <c r="I61" s="5">
        <v>15.66453176</v>
      </c>
      <c r="J61" s="5">
        <v>18.98293057</v>
      </c>
      <c r="K61" s="5">
        <v>23.23856898</v>
      </c>
      <c r="L61" s="5">
        <v>30.29623764</v>
      </c>
      <c r="M61" s="5">
        <v>40.85121524</v>
      </c>
      <c r="N61" s="5">
        <v>50.37480926</v>
      </c>
      <c r="O61" s="5">
        <v>63.56687898</v>
      </c>
      <c r="P61" s="5">
        <v>65.42488263</v>
      </c>
      <c r="Q61" s="5">
        <v>67.40543162</v>
      </c>
      <c r="R61" s="5">
        <v>71.7773238</v>
      </c>
      <c r="S61" s="5">
        <v>76.63969795</v>
      </c>
      <c r="T61" s="5">
        <v>78.89749084</v>
      </c>
      <c r="U61" s="5">
        <v>81.27215998</v>
      </c>
      <c r="V61" s="1"/>
      <c r="W61" s="2" t="str">
        <f>IF('расчет'!R29&lt;50000,50000,'расчет'!R29)</f>
        <v>139766.3665</v>
      </c>
      <c r="X61" s="2" t="str">
        <f t="shared" si="28"/>
        <v>125000</v>
      </c>
      <c r="Y61" s="2" t="str">
        <f t="shared" si="29"/>
        <v>150000</v>
      </c>
      <c r="Z61" s="2" t="str">
        <f t="shared" si="30"/>
        <v>0.4093453385</v>
      </c>
      <c r="AA61" s="2" t="str">
        <f t="shared" si="31"/>
        <v>0.5906546615</v>
      </c>
      <c r="AB61" s="2" t="str">
        <f>'расчет'!P29</f>
        <v>10.5809717</v>
      </c>
      <c r="AC61" s="2" t="str">
        <f t="shared" ref="AC61:AD61" si="45">AC60</f>
        <v>0</v>
      </c>
      <c r="AD61" s="2" t="str">
        <f t="shared" si="45"/>
        <v>23</v>
      </c>
      <c r="AE61" s="2" t="str">
        <f t="shared" si="33"/>
        <v>10.5</v>
      </c>
      <c r="AF61" s="2" t="str">
        <f t="shared" si="34"/>
        <v>11</v>
      </c>
      <c r="AG61" s="2" t="str">
        <f t="shared" si="35"/>
        <v>0.8380565967</v>
      </c>
      <c r="AH61" s="2" t="str">
        <f t="shared" si="36"/>
        <v>0.1619434033</v>
      </c>
      <c r="AI61" s="2" t="str">
        <f>VLOOKUP(AE61,B55:U101,(X61/25000),FALSE)</f>
        <v>15.74150418</v>
      </c>
      <c r="AJ61" s="2" t="str">
        <f>VLOOKUP(AF61,B55:U101,(X61/25000),FALSE)</f>
        <v>16.19082261</v>
      </c>
      <c r="AK61" s="2" t="str">
        <f>VLOOKUP(AE61,B55:U101,(Y61/25000),FALSE)</f>
        <v>24.61719117</v>
      </c>
      <c r="AL61" s="2" t="str">
        <f>VLOOKUP(AF61,B55:U101,(Y61/25000),FALSE)</f>
        <v>26.9953442</v>
      </c>
      <c r="AM61" s="2" t="str">
        <f t="shared" si="37"/>
        <v>15.81426834</v>
      </c>
      <c r="AN61" s="2" t="str">
        <f t="shared" si="38"/>
        <v>25.00231737</v>
      </c>
      <c r="AO61" s="2" t="str">
        <f t="shared" si="39"/>
        <v>21.24123232</v>
      </c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ht="12.75" customHeight="1">
      <c r="A62" s="1"/>
      <c r="B62" s="5">
        <v>3.5</v>
      </c>
      <c r="C62" s="5">
        <v>2.979737783</v>
      </c>
      <c r="D62" s="5">
        <v>3.779711772</v>
      </c>
      <c r="E62" s="5">
        <v>4.497354497</v>
      </c>
      <c r="F62" s="5">
        <v>5.769738848</v>
      </c>
      <c r="G62" s="5">
        <v>8.32652212</v>
      </c>
      <c r="H62" s="5">
        <v>11.93038995</v>
      </c>
      <c r="I62" s="5">
        <v>17.16417976</v>
      </c>
      <c r="J62" s="5">
        <v>20.79195241</v>
      </c>
      <c r="K62" s="5">
        <v>25.49204613</v>
      </c>
      <c r="L62" s="5">
        <v>33.11926773</v>
      </c>
      <c r="M62" s="5">
        <v>44.59095064</v>
      </c>
      <c r="N62" s="5">
        <v>54.61263409</v>
      </c>
      <c r="O62" s="5">
        <v>68.42519685</v>
      </c>
      <c r="P62" s="5">
        <v>69.19875379</v>
      </c>
      <c r="Q62" s="5">
        <v>69.99513619</v>
      </c>
      <c r="R62" s="5">
        <v>75.61038961</v>
      </c>
      <c r="S62" s="5">
        <v>82.04570792</v>
      </c>
      <c r="T62" s="5">
        <v>84.64044783</v>
      </c>
      <c r="U62" s="5">
        <v>87.3956792</v>
      </c>
      <c r="V62" s="1"/>
      <c r="W62" s="2" t="str">
        <f>IF('расчет'!R30&lt;50000,50000,'расчет'!R30)</f>
        <v>134527.6688</v>
      </c>
      <c r="X62" s="2" t="str">
        <f t="shared" si="28"/>
        <v>125000</v>
      </c>
      <c r="Y62" s="2" t="str">
        <f t="shared" si="29"/>
        <v>150000</v>
      </c>
      <c r="Z62" s="2" t="str">
        <f t="shared" si="30"/>
        <v>0.6188932465</v>
      </c>
      <c r="AA62" s="2" t="str">
        <f t="shared" si="31"/>
        <v>0.3811067535</v>
      </c>
      <c r="AB62" s="2" t="str">
        <f>'расчет'!P30</f>
        <v>10.90349584</v>
      </c>
      <c r="AC62" s="2" t="str">
        <f t="shared" ref="AC62:AD62" si="46">AC61</f>
        <v>0</v>
      </c>
      <c r="AD62" s="2" t="str">
        <f t="shared" si="46"/>
        <v>23</v>
      </c>
      <c r="AE62" s="2" t="str">
        <f t="shared" si="33"/>
        <v>10.5</v>
      </c>
      <c r="AF62" s="2" t="str">
        <f t="shared" si="34"/>
        <v>11</v>
      </c>
      <c r="AG62" s="2" t="str">
        <f t="shared" si="35"/>
        <v>0.1930083163</v>
      </c>
      <c r="AH62" s="2" t="str">
        <f t="shared" si="36"/>
        <v>0.8069916837</v>
      </c>
      <c r="AI62" s="2" t="str">
        <f>VLOOKUP(AE62,B55:U101,(X62/25000),FALSE)</f>
        <v>15.74150418</v>
      </c>
      <c r="AJ62" s="2" t="str">
        <f>VLOOKUP(AF62,B55:U101,(X62/25000),FALSE)</f>
        <v>16.19082261</v>
      </c>
      <c r="AK62" s="2" t="str">
        <f>VLOOKUP(AE62,B55:U101,(Y62/25000),FALSE)</f>
        <v>24.61719117</v>
      </c>
      <c r="AL62" s="2" t="str">
        <f>VLOOKUP(AF62,B55:U101,(Y62/25000),FALSE)</f>
        <v>26.9953442</v>
      </c>
      <c r="AM62" s="2" t="str">
        <f t="shared" si="37"/>
        <v>16.10410042</v>
      </c>
      <c r="AN62" s="2" t="str">
        <f t="shared" si="38"/>
        <v>26.53634089</v>
      </c>
      <c r="AO62" s="2" t="str">
        <f t="shared" si="39"/>
        <v>20.07989771</v>
      </c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ht="12.75" customHeight="1">
      <c r="A63" s="1"/>
      <c r="B63" s="5">
        <v>4.0</v>
      </c>
      <c r="C63" s="5">
        <v>3.537951429</v>
      </c>
      <c r="D63" s="5">
        <v>4.337792012</v>
      </c>
      <c r="E63" s="5">
        <v>5.443613294</v>
      </c>
      <c r="F63" s="5">
        <v>8.584433318</v>
      </c>
      <c r="G63" s="5">
        <v>10.55292461</v>
      </c>
      <c r="H63" s="5">
        <v>13.08277274</v>
      </c>
      <c r="I63" s="5">
        <v>18.74771704</v>
      </c>
      <c r="J63" s="5">
        <v>22.7197943</v>
      </c>
      <c r="K63" s="5">
        <v>27.9222917</v>
      </c>
      <c r="L63" s="5">
        <v>36.17816092</v>
      </c>
      <c r="M63" s="5">
        <v>48.67204301</v>
      </c>
      <c r="N63" s="5">
        <v>59.21697983</v>
      </c>
      <c r="O63" s="5">
        <v>73.67179823</v>
      </c>
      <c r="P63" s="5">
        <v>74.82356384</v>
      </c>
      <c r="Q63" s="5">
        <v>76.02511533</v>
      </c>
      <c r="R63" s="5">
        <v>81.37225684</v>
      </c>
      <c r="S63" s="5">
        <v>87.36781609</v>
      </c>
      <c r="T63" s="5">
        <v>90.59739292</v>
      </c>
      <c r="U63" s="5">
        <v>94.07424594</v>
      </c>
      <c r="V63" s="1"/>
      <c r="W63" s="2" t="str">
        <f>IF('расчет'!R31&lt;50000,50000,'расчет'!R31)</f>
        <v>128573.0727</v>
      </c>
      <c r="X63" s="2" t="str">
        <f t="shared" si="28"/>
        <v>125000</v>
      </c>
      <c r="Y63" s="2" t="str">
        <f t="shared" si="29"/>
        <v>150000</v>
      </c>
      <c r="Z63" s="2" t="str">
        <f t="shared" si="30"/>
        <v>0.8570770934</v>
      </c>
      <c r="AA63" s="2" t="str">
        <f t="shared" si="31"/>
        <v>0.1429229066</v>
      </c>
      <c r="AB63" s="2" t="str">
        <f>'расчет'!P31</f>
        <v>11.24863784</v>
      </c>
      <c r="AC63" s="2" t="str">
        <f t="shared" ref="AC63:AD63" si="47">AC62</f>
        <v>0</v>
      </c>
      <c r="AD63" s="2" t="str">
        <f t="shared" si="47"/>
        <v>23</v>
      </c>
      <c r="AE63" s="2" t="str">
        <f t="shared" si="33"/>
        <v>11</v>
      </c>
      <c r="AF63" s="2" t="str">
        <f t="shared" si="34"/>
        <v>11.5</v>
      </c>
      <c r="AG63" s="2" t="str">
        <f t="shared" si="35"/>
        <v>0.5027243149</v>
      </c>
      <c r="AH63" s="2" t="str">
        <f t="shared" si="36"/>
        <v>0.4972756851</v>
      </c>
      <c r="AI63" s="2" t="str">
        <f>VLOOKUP(AE63,B55:U101,(X63/25000),FALSE)</f>
        <v>16.19082261</v>
      </c>
      <c r="AJ63" s="2" t="str">
        <f>VLOOKUP(AF63,B55:U101,(X63/25000),FALSE)</f>
        <v>17.87154659</v>
      </c>
      <c r="AK63" s="2" t="str">
        <f>VLOOKUP(AE63,B55:U101,(Y63/25000),FALSE)</f>
        <v>26.9953442</v>
      </c>
      <c r="AL63" s="2" t="str">
        <f>VLOOKUP(AF63,B55:U101,(Y63/25000),FALSE)</f>
        <v>29.68799858</v>
      </c>
      <c r="AM63" s="2" t="str">
        <f t="shared" si="37"/>
        <v>17.02660578</v>
      </c>
      <c r="AN63" s="2" t="str">
        <f t="shared" si="38"/>
        <v>28.33433575</v>
      </c>
      <c r="AO63" s="2" t="str">
        <f t="shared" si="39"/>
        <v>18.64273941</v>
      </c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ht="12.75" customHeight="1">
      <c r="A64" s="1"/>
      <c r="B64" s="5">
        <v>4.5</v>
      </c>
      <c r="C64" s="5">
        <v>3.954039759</v>
      </c>
      <c r="D64" s="5">
        <v>5.016807486</v>
      </c>
      <c r="E64" s="5">
        <v>5.489874638</v>
      </c>
      <c r="F64" s="5">
        <v>8.639360047</v>
      </c>
      <c r="G64" s="5">
        <v>10.80105523</v>
      </c>
      <c r="H64" s="5">
        <v>13.61271676</v>
      </c>
      <c r="I64" s="5">
        <v>19.87254705</v>
      </c>
      <c r="J64" s="5">
        <v>24.41088959</v>
      </c>
      <c r="K64" s="5">
        <v>30.550954</v>
      </c>
      <c r="L64" s="5">
        <v>39.50376529</v>
      </c>
      <c r="M64" s="5">
        <v>53.1434652</v>
      </c>
      <c r="N64" s="5">
        <v>64.23754513</v>
      </c>
      <c r="O64" s="5">
        <v>79.35516888</v>
      </c>
      <c r="P64" s="5">
        <v>81.0</v>
      </c>
      <c r="Q64" s="5">
        <v>82.74106176</v>
      </c>
      <c r="R64" s="5">
        <v>84.99861534</v>
      </c>
      <c r="S64" s="5">
        <v>87.35977337</v>
      </c>
      <c r="T64" s="5">
        <v>93.90266022</v>
      </c>
      <c r="U64" s="5">
        <v>101.3869086</v>
      </c>
      <c r="V64" s="1"/>
      <c r="W64" s="2" t="str">
        <f>IF('расчет'!R32&lt;50000,50000,'расчет'!R32)</f>
        <v>121825.3118</v>
      </c>
      <c r="X64" s="2" t="str">
        <f t="shared" si="28"/>
        <v>100000</v>
      </c>
      <c r="Y64" s="2" t="str">
        <f t="shared" si="29"/>
        <v>125000</v>
      </c>
      <c r="Z64" s="2" t="str">
        <f t="shared" si="30"/>
        <v>0.1269875283</v>
      </c>
      <c r="AA64" s="2" t="str">
        <f t="shared" si="31"/>
        <v>0.8730124717</v>
      </c>
      <c r="AB64" s="2" t="str">
        <f>'расчет'!P32</f>
        <v>11.66229685</v>
      </c>
      <c r="AC64" s="2" t="str">
        <f t="shared" ref="AC64:AD64" si="48">AC63</f>
        <v>0</v>
      </c>
      <c r="AD64" s="2" t="str">
        <f t="shared" si="48"/>
        <v>23</v>
      </c>
      <c r="AE64" s="2" t="str">
        <f t="shared" si="33"/>
        <v>11.5</v>
      </c>
      <c r="AF64" s="2" t="str">
        <f t="shared" si="34"/>
        <v>12</v>
      </c>
      <c r="AG64" s="2" t="str">
        <f t="shared" si="35"/>
        <v>0.6754062992</v>
      </c>
      <c r="AH64" s="2" t="str">
        <f t="shared" si="36"/>
        <v>0.3245937008</v>
      </c>
      <c r="AI64" s="2" t="str">
        <f>VLOOKUP(AE64,B55:U101,(X64/25000),FALSE)</f>
        <v>11.94361688</v>
      </c>
      <c r="AJ64" s="2" t="str">
        <f>VLOOKUP(AF64,B55:U101,(X64/25000),FALSE)</f>
        <v>13.31891282</v>
      </c>
      <c r="AK64" s="2" t="str">
        <f>VLOOKUP(AE64,B55:U101,(Y64/25000),FALSE)</f>
        <v>17.87154659</v>
      </c>
      <c r="AL64" s="2" t="str">
        <f>VLOOKUP(AF64,B55:U101,(Y64/25000),FALSE)</f>
        <v>23.10532341</v>
      </c>
      <c r="AM64" s="2" t="str">
        <f t="shared" si="37"/>
        <v>12.39002928</v>
      </c>
      <c r="AN64" s="2" t="str">
        <f t="shared" si="38"/>
        <v>19.57039758</v>
      </c>
      <c r="AO64" s="2" t="str">
        <f t="shared" si="39"/>
        <v>18.65858036</v>
      </c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ht="12.75" customHeight="1">
      <c r="A65" s="1"/>
      <c r="B65" s="5">
        <v>5.0</v>
      </c>
      <c r="C65" s="5">
        <v>4.480318443</v>
      </c>
      <c r="D65" s="5">
        <v>5.248435775</v>
      </c>
      <c r="E65" s="5">
        <v>6.195025064</v>
      </c>
      <c r="F65" s="5">
        <v>8.691751085</v>
      </c>
      <c r="G65" s="5">
        <v>11.04016774</v>
      </c>
      <c r="H65" s="5">
        <v>14.1302485</v>
      </c>
      <c r="I65" s="5">
        <v>21.01464243</v>
      </c>
      <c r="J65" s="5">
        <v>26.17710843</v>
      </c>
      <c r="K65" s="5">
        <v>33.40336674</v>
      </c>
      <c r="L65" s="5">
        <v>43.13255356</v>
      </c>
      <c r="M65" s="5">
        <v>58.0640284</v>
      </c>
      <c r="N65" s="5">
        <v>65.0563706</v>
      </c>
      <c r="O65" s="5">
        <v>73.59171883</v>
      </c>
      <c r="P65" s="5">
        <v>80.07222079</v>
      </c>
      <c r="Q65" s="5">
        <v>87.55</v>
      </c>
      <c r="R65" s="5">
        <v>93.76837155</v>
      </c>
      <c r="S65" s="5">
        <v>100.7553059</v>
      </c>
      <c r="T65" s="5">
        <v>100.754717</v>
      </c>
      <c r="U65" s="5">
        <v>100.7541191</v>
      </c>
      <c r="V65" s="1"/>
      <c r="W65" s="2" t="str">
        <f>IF('расчет'!R33&lt;50000,50000,'расчет'!R33)</f>
        <v>114215.2829</v>
      </c>
      <c r="X65" s="2" t="str">
        <f t="shared" si="28"/>
        <v>100000</v>
      </c>
      <c r="Y65" s="2" t="str">
        <f t="shared" si="29"/>
        <v>125000</v>
      </c>
      <c r="Z65" s="2" t="str">
        <f t="shared" si="30"/>
        <v>0.4313886844</v>
      </c>
      <c r="AA65" s="2" t="str">
        <f t="shared" si="31"/>
        <v>0.5686113156</v>
      </c>
      <c r="AB65" s="2" t="str">
        <f>'расчет'!P33</f>
        <v>12.20946957</v>
      </c>
      <c r="AC65" s="2" t="str">
        <f t="shared" ref="AC65:AD65" si="49">AC64</f>
        <v>0</v>
      </c>
      <c r="AD65" s="2" t="str">
        <f t="shared" si="49"/>
        <v>23</v>
      </c>
      <c r="AE65" s="2" t="str">
        <f t="shared" si="33"/>
        <v>12</v>
      </c>
      <c r="AF65" s="2" t="str">
        <f t="shared" si="34"/>
        <v>12.5</v>
      </c>
      <c r="AG65" s="2" t="str">
        <f t="shared" si="35"/>
        <v>0.5810608514</v>
      </c>
      <c r="AH65" s="2" t="str">
        <f t="shared" si="36"/>
        <v>0.4189391486</v>
      </c>
      <c r="AI65" s="2" t="str">
        <f>VLOOKUP(AE65,B55:U101,(X65/25000),FALSE)</f>
        <v>13.31891282</v>
      </c>
      <c r="AJ65" s="2" t="str">
        <f>VLOOKUP(AF65,B55:U101,(X65/25000),FALSE)</f>
        <v>15.09214257</v>
      </c>
      <c r="AK65" s="2" t="str">
        <f>VLOOKUP(AE65,B55:U101,(Y65/25000),FALSE)</f>
        <v>23.10532341</v>
      </c>
      <c r="AL65" s="2" t="str">
        <f>VLOOKUP(AF65,B55:U101,(Y65/25000),FALSE)</f>
        <v>21.48193096</v>
      </c>
      <c r="AM65" s="2" t="str">
        <f t="shared" si="37"/>
        <v>14.06178818</v>
      </c>
      <c r="AN65" s="2" t="str">
        <f t="shared" si="38"/>
        <v>22.42522076</v>
      </c>
      <c r="AO65" s="2" t="str">
        <f t="shared" si="39"/>
        <v>18.81733058</v>
      </c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ht="12.75" customHeight="1">
      <c r="A66" s="1"/>
      <c r="B66" s="5">
        <v>5.5</v>
      </c>
      <c r="C66" s="5">
        <v>4.765908487</v>
      </c>
      <c r="D66" s="5">
        <v>5.783367284</v>
      </c>
      <c r="E66" s="5">
        <v>7.129410629</v>
      </c>
      <c r="F66" s="5">
        <v>8.741778061</v>
      </c>
      <c r="G66" s="5">
        <v>12.00601428</v>
      </c>
      <c r="H66" s="5">
        <v>15.46676406</v>
      </c>
      <c r="I66" s="5">
        <v>22.88295618</v>
      </c>
      <c r="J66" s="5">
        <v>28.51674694</v>
      </c>
      <c r="K66" s="5">
        <v>36.50936812</v>
      </c>
      <c r="L66" s="5">
        <v>47.10796622</v>
      </c>
      <c r="M66" s="5">
        <v>63.50498339</v>
      </c>
      <c r="N66" s="5">
        <v>69.34952978</v>
      </c>
      <c r="O66" s="5">
        <v>76.18804665</v>
      </c>
      <c r="P66" s="5">
        <v>81.37776066</v>
      </c>
      <c r="Q66" s="5">
        <v>87.19498911</v>
      </c>
      <c r="R66" s="5">
        <v>90.65254237</v>
      </c>
      <c r="S66" s="5">
        <v>94.37793427</v>
      </c>
      <c r="T66" s="5">
        <v>98.49923896</v>
      </c>
      <c r="U66" s="5">
        <v>102.9411765</v>
      </c>
      <c r="V66" s="1"/>
      <c r="W66" s="2" t="str">
        <f>IF('расчет'!R34&lt;50000,50000,'расчет'!R34)</f>
        <v>105683.6102</v>
      </c>
      <c r="X66" s="2" t="str">
        <f t="shared" si="28"/>
        <v>100000</v>
      </c>
      <c r="Y66" s="2" t="str">
        <f t="shared" si="29"/>
        <v>125000</v>
      </c>
      <c r="Z66" s="2" t="str">
        <f t="shared" si="30"/>
        <v>0.7726555915</v>
      </c>
      <c r="AA66" s="2" t="str">
        <f t="shared" si="31"/>
        <v>0.2273444085</v>
      </c>
      <c r="AB66" s="2" t="str">
        <f>'расчет'!P34</f>
        <v>12.98450331</v>
      </c>
      <c r="AC66" s="2" t="str">
        <f t="shared" ref="AC66:AD66" si="50">AC65</f>
        <v>0</v>
      </c>
      <c r="AD66" s="2" t="str">
        <f t="shared" si="50"/>
        <v>23</v>
      </c>
      <c r="AE66" s="2" t="str">
        <f t="shared" si="33"/>
        <v>12.5</v>
      </c>
      <c r="AF66" s="2" t="str">
        <f t="shared" si="34"/>
        <v>13</v>
      </c>
      <c r="AG66" s="2" t="str">
        <f t="shared" si="35"/>
        <v>0.03099337527</v>
      </c>
      <c r="AH66" s="2" t="str">
        <f t="shared" si="36"/>
        <v>0.9690066247</v>
      </c>
      <c r="AI66" s="2" t="str">
        <f>VLOOKUP(AE66,B55:U101,(X66/25000),FALSE)</f>
        <v>15.09214257</v>
      </c>
      <c r="AJ66" s="2" t="str">
        <f>VLOOKUP(AF66,B55:U101,(X66/25000),FALSE)</f>
        <v>18.85348029</v>
      </c>
      <c r="AK66" s="2" t="str">
        <f>VLOOKUP(AE66,B55:U101,(Y66/25000),FALSE)</f>
        <v>21.48193096</v>
      </c>
      <c r="AL66" s="2" t="str">
        <f>VLOOKUP(AF66,B55:U101,(Y66/25000),FALSE)</f>
        <v>18.46217789</v>
      </c>
      <c r="AM66" s="2" t="str">
        <f t="shared" si="37"/>
        <v>18.73690374</v>
      </c>
      <c r="AN66" s="2" t="str">
        <f t="shared" si="38"/>
        <v>18.55577023</v>
      </c>
      <c r="AO66" s="2" t="str">
        <f t="shared" si="39"/>
        <v>18.69572405</v>
      </c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ht="12.75" customHeight="1">
      <c r="A67" s="1"/>
      <c r="B67" s="5">
        <v>6.0</v>
      </c>
      <c r="C67" s="5">
        <v>5.060163551</v>
      </c>
      <c r="D67" s="5">
        <v>5.90389016</v>
      </c>
      <c r="E67" s="5">
        <v>7.633958961</v>
      </c>
      <c r="F67" s="5">
        <v>9.769665363</v>
      </c>
      <c r="G67" s="5">
        <v>12.60585222</v>
      </c>
      <c r="H67" s="5">
        <v>16.46985901</v>
      </c>
      <c r="I67" s="5">
        <v>24.55688257</v>
      </c>
      <c r="J67" s="5">
        <v>30.82398201</v>
      </c>
      <c r="K67" s="5">
        <v>39.90434856</v>
      </c>
      <c r="L67" s="5">
        <v>47.19860722</v>
      </c>
      <c r="M67" s="5">
        <v>56.96764485</v>
      </c>
      <c r="N67" s="5">
        <v>66.4594422</v>
      </c>
      <c r="O67" s="5">
        <v>78.83276116</v>
      </c>
      <c r="P67" s="5">
        <v>84.79927007</v>
      </c>
      <c r="Q67" s="5">
        <v>91.56928214</v>
      </c>
      <c r="R67" s="5">
        <v>93.32765957</v>
      </c>
      <c r="S67" s="5">
        <v>95.15625</v>
      </c>
      <c r="T67" s="5">
        <v>96.45019101</v>
      </c>
      <c r="U67" s="5">
        <v>97.78507463</v>
      </c>
      <c r="V67" s="1"/>
      <c r="W67" s="2" t="str">
        <f>IF('расчет'!R35&lt;50000,50000,'расчет'!R35)</f>
        <v>96182.02339</v>
      </c>
      <c r="X67" s="2" t="str">
        <f t="shared" si="28"/>
        <v>75000</v>
      </c>
      <c r="Y67" s="2" t="str">
        <f t="shared" si="29"/>
        <v>100000</v>
      </c>
      <c r="Z67" s="2" t="str">
        <f t="shared" si="30"/>
        <v>0.1527190645</v>
      </c>
      <c r="AA67" s="2" t="str">
        <f t="shared" si="31"/>
        <v>0.8472809355</v>
      </c>
      <c r="AB67" s="2" t="str">
        <f>'расчет'!P35</f>
        <v>14.12833628</v>
      </c>
      <c r="AC67" s="2" t="str">
        <f t="shared" ref="AC67:AD67" si="51">AC66</f>
        <v>0</v>
      </c>
      <c r="AD67" s="2" t="str">
        <f t="shared" si="51"/>
        <v>23</v>
      </c>
      <c r="AE67" s="2" t="str">
        <f t="shared" si="33"/>
        <v>14</v>
      </c>
      <c r="AF67" s="2" t="str">
        <f t="shared" si="34"/>
        <v>14.5</v>
      </c>
      <c r="AG67" s="2" t="str">
        <f t="shared" si="35"/>
        <v>0.7433274325</v>
      </c>
      <c r="AH67" s="2" t="str">
        <f t="shared" si="36"/>
        <v>0.2566725675</v>
      </c>
      <c r="AI67" s="2" t="str">
        <f>VLOOKUP(AE67,B55:U101,(X67/25000),FALSE)</f>
        <v>14.61013364</v>
      </c>
      <c r="AJ67" s="2" t="str">
        <f>VLOOKUP(AF67,B55:U101,(X67/25000),FALSE)</f>
        <v>13.89305302</v>
      </c>
      <c r="AK67" s="2" t="str">
        <f>VLOOKUP(AE67,B55:U101,(Y67/25000),FALSE)</f>
        <v>15.37783123</v>
      </c>
      <c r="AL67" s="2" t="str">
        <f>VLOOKUP(AF67,B55:U101,(Y67/25000),FALSE)</f>
        <v>15.39129577</v>
      </c>
      <c r="AM67" s="2" t="str">
        <f t="shared" si="37"/>
        <v>14.42607872</v>
      </c>
      <c r="AN67" s="2" t="str">
        <f t="shared" si="38"/>
        <v>15.38128721</v>
      </c>
      <c r="AO67" s="2" t="str">
        <f t="shared" si="39"/>
        <v>15.23540866</v>
      </c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ht="12.75" customHeight="1">
      <c r="A68" s="1"/>
      <c r="B68" s="5">
        <v>6.5</v>
      </c>
      <c r="C68" s="5">
        <v>5.348581673</v>
      </c>
      <c r="D68" s="5">
        <v>6.276089027</v>
      </c>
      <c r="E68" s="5">
        <v>8.000095704</v>
      </c>
      <c r="F68" s="5">
        <v>10.12901895</v>
      </c>
      <c r="G68" s="5">
        <v>13.19679186</v>
      </c>
      <c r="H68" s="5">
        <v>17.4998125</v>
      </c>
      <c r="I68" s="5">
        <v>26.31561422</v>
      </c>
      <c r="J68" s="5">
        <v>33.29171885</v>
      </c>
      <c r="K68" s="5">
        <v>43.63060515</v>
      </c>
      <c r="L68" s="5">
        <v>54.17456542</v>
      </c>
      <c r="M68" s="5">
        <v>69.57401033</v>
      </c>
      <c r="N68" s="5">
        <v>74.01909525</v>
      </c>
      <c r="O68" s="5">
        <v>78.99759036</v>
      </c>
      <c r="P68" s="5">
        <v>82.69964842</v>
      </c>
      <c r="Q68" s="5">
        <v>86.72784478</v>
      </c>
      <c r="R68" s="5">
        <v>90.12479653</v>
      </c>
      <c r="S68" s="5">
        <v>93.76616076</v>
      </c>
      <c r="T68" s="5">
        <v>95.68442153</v>
      </c>
      <c r="U68" s="5">
        <v>97.67659078</v>
      </c>
      <c r="V68" s="1"/>
      <c r="W68" s="2" t="str">
        <f>IF('расчет'!R36&lt;50000,50000,'расчет'!R36)</f>
        <v>85674.39578</v>
      </c>
      <c r="X68" s="2" t="str">
        <f t="shared" si="28"/>
        <v>75000</v>
      </c>
      <c r="Y68" s="2" t="str">
        <f t="shared" si="29"/>
        <v>100000</v>
      </c>
      <c r="Z68" s="2" t="str">
        <f t="shared" si="30"/>
        <v>0.5730241689</v>
      </c>
      <c r="AA68" s="2" t="str">
        <f t="shared" si="31"/>
        <v>0.4269758311</v>
      </c>
      <c r="AB68" s="2" t="str">
        <f>'расчет'!P36</f>
        <v>15.85841006</v>
      </c>
      <c r="AC68" s="2" t="str">
        <f t="shared" ref="AC68:AD68" si="52">AC67</f>
        <v>0</v>
      </c>
      <c r="AD68" s="2" t="str">
        <f t="shared" si="52"/>
        <v>23</v>
      </c>
      <c r="AE68" s="2" t="str">
        <f t="shared" si="33"/>
        <v>15.5</v>
      </c>
      <c r="AF68" s="2" t="str">
        <f t="shared" si="34"/>
        <v>16</v>
      </c>
      <c r="AG68" s="2" t="str">
        <f t="shared" si="35"/>
        <v>0.2831798876</v>
      </c>
      <c r="AH68" s="2" t="str">
        <f t="shared" si="36"/>
        <v>0.7168201124</v>
      </c>
      <c r="AI68" s="2" t="str">
        <f>VLOOKUP(AE68,B55:U101,(X68/25000),FALSE)</f>
        <v>17.65439736</v>
      </c>
      <c r="AJ68" s="2" t="str">
        <f>VLOOKUP(AF68,B55:U101,(X68/25000),FALSE)</f>
        <v>18.21194721</v>
      </c>
      <c r="AK68" s="2" t="str">
        <f>VLOOKUP(AE68,B55:U101,(Y68/25000),FALSE)</f>
        <v>17.76420217</v>
      </c>
      <c r="AL68" s="2" t="str">
        <f>VLOOKUP(AF68,B55:U101,(Y68/25000),FALSE)</f>
        <v>17.59187817</v>
      </c>
      <c r="AM68" s="2" t="str">
        <f t="shared" si="37"/>
        <v>18.05406031</v>
      </c>
      <c r="AN68" s="2" t="str">
        <f t="shared" si="38"/>
        <v>17.64067686</v>
      </c>
      <c r="AO68" s="2" t="str">
        <f t="shared" si="39"/>
        <v>17.87755557</v>
      </c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ht="12.75" customHeight="1">
      <c r="A69" s="1"/>
      <c r="B69" s="5">
        <v>7.0</v>
      </c>
      <c r="C69" s="5">
        <v>5.631334822</v>
      </c>
      <c r="D69" s="5">
        <v>6.369642555</v>
      </c>
      <c r="E69" s="5">
        <v>8.200905281</v>
      </c>
      <c r="F69" s="5">
        <v>10.47726486</v>
      </c>
      <c r="G69" s="5">
        <v>13.78350126</v>
      </c>
      <c r="H69" s="5">
        <v>18.55771789</v>
      </c>
      <c r="I69" s="5">
        <v>28.16576329</v>
      </c>
      <c r="J69" s="5">
        <v>35.93730881</v>
      </c>
      <c r="K69" s="5">
        <v>47.73911293</v>
      </c>
      <c r="L69" s="5">
        <v>55.38912039</v>
      </c>
      <c r="M69" s="5">
        <v>65.33628675</v>
      </c>
      <c r="N69" s="5">
        <v>71.68698302</v>
      </c>
      <c r="O69" s="5">
        <v>79.15679773</v>
      </c>
      <c r="P69" s="5">
        <v>83.58490566</v>
      </c>
      <c r="Q69" s="5">
        <v>88.46113719</v>
      </c>
      <c r="R69" s="5">
        <v>88.94445907</v>
      </c>
      <c r="S69" s="5">
        <v>89.43676939</v>
      </c>
      <c r="T69" s="5">
        <v>91.3604336</v>
      </c>
      <c r="U69" s="5">
        <v>93.36283186</v>
      </c>
      <c r="V69" s="1"/>
      <c r="W69" s="2" t="str">
        <f>IF('расчет'!R37&lt;50000,50000,'расчет'!R37)</f>
        <v>74137.3012</v>
      </c>
      <c r="X69" s="2" t="str">
        <f t="shared" si="28"/>
        <v>50000</v>
      </c>
      <c r="Y69" s="2" t="str">
        <f t="shared" si="29"/>
        <v>75000</v>
      </c>
      <c r="Z69" s="2" t="str">
        <f t="shared" si="30"/>
        <v>0.03450795217</v>
      </c>
      <c r="AA69" s="2" t="str">
        <f t="shared" si="31"/>
        <v>0.9654920478</v>
      </c>
      <c r="AB69" s="2" t="str">
        <f>'расчет'!P37</f>
        <v>18.5217332</v>
      </c>
      <c r="AC69" s="2" t="str">
        <f t="shared" ref="AC69:AD69" si="53">AC68</f>
        <v>0</v>
      </c>
      <c r="AD69" s="2" t="str">
        <f t="shared" si="53"/>
        <v>23</v>
      </c>
      <c r="AE69" s="2" t="str">
        <f t="shared" si="33"/>
        <v>18.5</v>
      </c>
      <c r="AF69" s="2" t="str">
        <f t="shared" si="34"/>
        <v>19</v>
      </c>
      <c r="AG69" s="2" t="str">
        <f t="shared" si="35"/>
        <v>0.9565335919</v>
      </c>
      <c r="AH69" s="2" t="str">
        <f t="shared" si="36"/>
        <v>0.0434664081</v>
      </c>
      <c r="AI69" s="2" t="str">
        <f>VLOOKUP(AE69,B55:U101,(X69/25000),FALSE)</f>
        <v>10.36230752</v>
      </c>
      <c r="AJ69" s="2" t="str">
        <f>VLOOKUP(AF69,B55:U101,(X69/25000),FALSE)</f>
        <v>8.807007629</v>
      </c>
      <c r="AK69" s="2" t="str">
        <f>VLOOKUP(AE69,B55:U101,(Y69/25000),FALSE)</f>
        <v>12.09299039</v>
      </c>
      <c r="AL69" s="2" t="str">
        <f>VLOOKUP(AF69,B55:U101,(Y69/25000),FALSE)</f>
        <v>10.5798033</v>
      </c>
      <c r="AM69" s="2" t="str">
        <f t="shared" si="37"/>
        <v>10.29470422</v>
      </c>
      <c r="AN69" s="2" t="str">
        <f t="shared" si="38"/>
        <v>12.02721758</v>
      </c>
      <c r="AO69" s="2" t="str">
        <f t="shared" si="39"/>
        <v>11.96743209</v>
      </c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ht="12.75" customHeight="1">
      <c r="A70" s="1"/>
      <c r="B70" s="5">
        <v>7.5</v>
      </c>
      <c r="C70" s="5">
        <v>6.021294021</v>
      </c>
      <c r="D70" s="5">
        <v>6.598764401</v>
      </c>
      <c r="E70" s="5">
        <v>8.479318695</v>
      </c>
      <c r="F70" s="5">
        <v>10.81491027</v>
      </c>
      <c r="G70" s="5">
        <v>14.36602569</v>
      </c>
      <c r="H70" s="5">
        <v>19.64472873</v>
      </c>
      <c r="I70" s="5">
        <v>30.11464768</v>
      </c>
      <c r="J70" s="5">
        <v>38.78069784</v>
      </c>
      <c r="K70" s="5">
        <v>52.29187071</v>
      </c>
      <c r="L70" s="5">
        <v>61.93940527</v>
      </c>
      <c r="M70" s="5">
        <v>74.87740806</v>
      </c>
      <c r="N70" s="5">
        <v>75.52222222</v>
      </c>
      <c r="O70" s="5">
        <v>76.1868231</v>
      </c>
      <c r="P70" s="5">
        <v>80.2266289</v>
      </c>
      <c r="Q70" s="5">
        <v>84.65841584</v>
      </c>
      <c r="R70" s="5">
        <v>85.08982036</v>
      </c>
      <c r="S70" s="5">
        <v>85.52816901</v>
      </c>
      <c r="T70" s="5">
        <v>86.64373089</v>
      </c>
      <c r="U70" s="5">
        <v>87.7892562</v>
      </c>
      <c r="V70" s="1"/>
      <c r="W70" s="2" t="str">
        <f>IF('расчет'!R38&lt;50000,50000,'расчет'!R38)</f>
        <v>61560.12526</v>
      </c>
      <c r="X70" s="2" t="str">
        <f t="shared" si="28"/>
        <v>50000</v>
      </c>
      <c r="Y70" s="2" t="str">
        <f t="shared" si="29"/>
        <v>75000</v>
      </c>
      <c r="Z70" s="2" t="str">
        <f t="shared" si="30"/>
        <v>0.5375949897</v>
      </c>
      <c r="AA70" s="2" t="str">
        <f t="shared" si="31"/>
        <v>0.4624050103</v>
      </c>
      <c r="AB70" s="2" t="str">
        <f>'расчет'!P38</f>
        <v>22.68814529</v>
      </c>
      <c r="AC70" s="2" t="str">
        <f t="shared" ref="AC70:AD70" si="54">AC69</f>
        <v>0</v>
      </c>
      <c r="AD70" s="2" t="str">
        <f t="shared" si="54"/>
        <v>23</v>
      </c>
      <c r="AE70" s="2" t="str">
        <f t="shared" si="33"/>
        <v>22.5</v>
      </c>
      <c r="AF70" s="2" t="str">
        <f t="shared" si="34"/>
        <v>23</v>
      </c>
      <c r="AG70" s="2" t="str">
        <f t="shared" si="35"/>
        <v>0.6237094224</v>
      </c>
      <c r="AH70" s="2" t="str">
        <f t="shared" si="36"/>
        <v>0.3762905776</v>
      </c>
      <c r="AI70" s="2" t="str">
        <f>VLOOKUP(AE70,B55:U101,(X70/25000),FALSE)</f>
        <v>4.960128707</v>
      </c>
      <c r="AJ70" s="2" t="str">
        <f>VLOOKUP(AF70,B55:U101,(X70/25000),FALSE)</f>
        <v>4.900680459</v>
      </c>
      <c r="AK70" s="2" t="str">
        <f>VLOOKUP(AE70,B55:U101,(Y70/25000),FALSE)</f>
        <v>5.120889401</v>
      </c>
      <c r="AL70" s="2" t="str">
        <f>VLOOKUP(AF70,B55:U101,(Y70/25000),FALSE)</f>
        <v>5.046842893</v>
      </c>
      <c r="AM70" s="2" t="str">
        <f t="shared" si="37"/>
        <v>4.937758891</v>
      </c>
      <c r="AN70" s="2" t="str">
        <f t="shared" si="38"/>
        <v>5.093026398</v>
      </c>
      <c r="AO70" s="2" t="str">
        <f t="shared" si="39"/>
        <v>5.009555364</v>
      </c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ht="12.75" customHeight="1">
      <c r="A71" s="1"/>
      <c r="B71" s="5">
        <v>8.0</v>
      </c>
      <c r="C71" s="5">
        <v>6.167280884</v>
      </c>
      <c r="D71" s="5">
        <v>6.8523159</v>
      </c>
      <c r="E71" s="5">
        <v>8.747671383</v>
      </c>
      <c r="F71" s="5">
        <v>11.14243194</v>
      </c>
      <c r="G71" s="5">
        <v>14.94440976</v>
      </c>
      <c r="H71" s="5">
        <v>20.7620629</v>
      </c>
      <c r="I71" s="5">
        <v>30.18711901</v>
      </c>
      <c r="J71" s="5">
        <v>37.55901722</v>
      </c>
      <c r="K71" s="5">
        <v>48.34688347</v>
      </c>
      <c r="L71" s="5">
        <v>56.98382657</v>
      </c>
      <c r="M71" s="5">
        <v>68.49859494</v>
      </c>
      <c r="N71" s="5">
        <v>71.38118089</v>
      </c>
      <c r="O71" s="5">
        <v>74.5004344</v>
      </c>
      <c r="P71" s="5">
        <v>76.67485485</v>
      </c>
      <c r="Q71" s="5">
        <v>78.97518382</v>
      </c>
      <c r="R71" s="5">
        <v>79.98136935</v>
      </c>
      <c r="S71" s="5">
        <v>81.01510859</v>
      </c>
      <c r="T71" s="5">
        <v>81.65039295</v>
      </c>
      <c r="U71" s="5">
        <v>82.29697261</v>
      </c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ht="12.75" customHeight="1">
      <c r="A72" s="1"/>
      <c r="B72" s="5">
        <v>8.5</v>
      </c>
      <c r="C72" s="5">
        <v>6.291044776</v>
      </c>
      <c r="D72" s="5">
        <v>6.878506171</v>
      </c>
      <c r="E72" s="5">
        <v>8.909799473</v>
      </c>
      <c r="F72" s="5">
        <v>11.46027844</v>
      </c>
      <c r="G72" s="5">
        <v>14.79927885</v>
      </c>
      <c r="H72" s="5">
        <v>21.91100721</v>
      </c>
      <c r="I72" s="5">
        <v>33.92027758</v>
      </c>
      <c r="J72" s="5">
        <v>44.13736727</v>
      </c>
      <c r="K72" s="5">
        <v>60.59134108</v>
      </c>
      <c r="L72" s="5">
        <v>62.70457445</v>
      </c>
      <c r="M72" s="5">
        <v>64.97354497</v>
      </c>
      <c r="N72" s="5">
        <v>67.59114073</v>
      </c>
      <c r="O72" s="5">
        <v>70.41123779</v>
      </c>
      <c r="P72" s="5">
        <v>72.16013344</v>
      </c>
      <c r="Q72" s="5">
        <v>73.9957265</v>
      </c>
      <c r="R72" s="5">
        <v>74.16541353</v>
      </c>
      <c r="S72" s="5">
        <v>74.33693305</v>
      </c>
      <c r="T72" s="5">
        <v>74.53145336</v>
      </c>
      <c r="U72" s="5">
        <v>74.72766885</v>
      </c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ht="12.75" customHeight="1">
      <c r="A73" s="1"/>
      <c r="B73" s="5">
        <v>9.0</v>
      </c>
      <c r="C73" s="5">
        <v>6.376365369</v>
      </c>
      <c r="D73" s="5">
        <v>7.100497963</v>
      </c>
      <c r="E73" s="5">
        <v>9.11771367</v>
      </c>
      <c r="F73" s="5">
        <v>11.76887227</v>
      </c>
      <c r="G73" s="5">
        <v>16.38059701</v>
      </c>
      <c r="H73" s="5">
        <v>23.09292231</v>
      </c>
      <c r="I73" s="5">
        <v>34.4510422</v>
      </c>
      <c r="J73" s="5">
        <v>43.77335928</v>
      </c>
      <c r="K73" s="5">
        <v>58.16717019</v>
      </c>
      <c r="L73" s="5">
        <v>60.75362826</v>
      </c>
      <c r="M73" s="5">
        <v>63.56569343</v>
      </c>
      <c r="N73" s="5">
        <v>64.42097462</v>
      </c>
      <c r="O73" s="5">
        <v>65.30297328</v>
      </c>
      <c r="P73" s="5">
        <v>65.46934141</v>
      </c>
      <c r="Q73" s="5">
        <v>65.63760944</v>
      </c>
      <c r="R73" s="5">
        <v>65.44484664</v>
      </c>
      <c r="S73" s="5">
        <v>65.25171625</v>
      </c>
      <c r="T73" s="5">
        <v>64.5650938</v>
      </c>
      <c r="U73" s="5">
        <v>63.88700565</v>
      </c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ht="12.75" customHeight="1">
      <c r="A74" s="1"/>
      <c r="B74" s="5">
        <v>9.5</v>
      </c>
      <c r="C74" s="5">
        <v>6.485039802</v>
      </c>
      <c r="D74" s="5">
        <v>7.096392667</v>
      </c>
      <c r="E74" s="5">
        <v>8.22799445</v>
      </c>
      <c r="F74" s="5">
        <v>12.06861164</v>
      </c>
      <c r="G74" s="5">
        <v>18.72212578</v>
      </c>
      <c r="H74" s="5">
        <v>24.30924808</v>
      </c>
      <c r="I74" s="5">
        <v>34.25407925</v>
      </c>
      <c r="J74" s="5">
        <v>41.85085971</v>
      </c>
      <c r="K74" s="5">
        <v>52.69126096</v>
      </c>
      <c r="L74" s="5">
        <v>54.79590229</v>
      </c>
      <c r="M74" s="5">
        <v>57.08689928</v>
      </c>
      <c r="N74" s="5">
        <v>57.21284343</v>
      </c>
      <c r="O74" s="5">
        <v>57.34021305</v>
      </c>
      <c r="P74" s="5">
        <v>56.58351231</v>
      </c>
      <c r="Q74" s="5">
        <v>55.83797967</v>
      </c>
      <c r="R74" s="5">
        <v>54.83222564</v>
      </c>
      <c r="S74" s="5">
        <v>53.84935897</v>
      </c>
      <c r="T74" s="5">
        <v>52.7195199</v>
      </c>
      <c r="U74" s="5">
        <v>51.62204234</v>
      </c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ht="12.75" customHeight="1">
      <c r="A75" s="1"/>
      <c r="B75" s="5">
        <v>10.0</v>
      </c>
      <c r="C75" s="5">
        <v>6.557343376</v>
      </c>
      <c r="D75" s="5">
        <v>7.258671124</v>
      </c>
      <c r="E75" s="5">
        <v>10.10458294</v>
      </c>
      <c r="F75" s="5">
        <v>14.30878657</v>
      </c>
      <c r="G75" s="5">
        <v>21.43557221</v>
      </c>
      <c r="H75" s="5">
        <v>32.30861244</v>
      </c>
      <c r="I75" s="5">
        <v>38.9874003</v>
      </c>
      <c r="J75" s="5">
        <v>43.19577916</v>
      </c>
      <c r="K75" s="5">
        <v>48.20357634</v>
      </c>
      <c r="L75" s="5">
        <v>45.93169563</v>
      </c>
      <c r="M75" s="5">
        <v>43.8007999</v>
      </c>
      <c r="N75" s="5">
        <v>45.34691962</v>
      </c>
      <c r="O75" s="5">
        <v>47.01925761</v>
      </c>
      <c r="P75" s="5">
        <v>45.69708578</v>
      </c>
      <c r="Q75" s="5">
        <v>44.42565754</v>
      </c>
      <c r="R75" s="5">
        <v>43.2525359</v>
      </c>
      <c r="S75" s="5">
        <v>42.12160414</v>
      </c>
      <c r="T75" s="5">
        <v>40.89573039</v>
      </c>
      <c r="U75" s="5">
        <v>39.71946375</v>
      </c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ht="12.75" customHeight="1">
      <c r="A76" s="1"/>
      <c r="B76" s="5">
        <v>10.5</v>
      </c>
      <c r="C76" s="5">
        <v>6.566327188</v>
      </c>
      <c r="D76" s="5">
        <v>7.228690229</v>
      </c>
      <c r="E76" s="5">
        <v>10.83888264</v>
      </c>
      <c r="F76" s="5">
        <v>15.74150418</v>
      </c>
      <c r="G76" s="5">
        <v>24.61719117</v>
      </c>
      <c r="H76" s="5">
        <v>32.71313251</v>
      </c>
      <c r="I76" s="5">
        <v>40.55399061</v>
      </c>
      <c r="J76" s="5">
        <v>40.0629958</v>
      </c>
      <c r="K76" s="5">
        <v>39.57792208</v>
      </c>
      <c r="L76" s="5">
        <v>37.31080332</v>
      </c>
      <c r="M76" s="5">
        <v>35.23657967</v>
      </c>
      <c r="N76" s="5">
        <v>34.58710288</v>
      </c>
      <c r="O76" s="5">
        <v>33.94846651</v>
      </c>
      <c r="P76" s="5">
        <v>33.85478096</v>
      </c>
      <c r="Q76" s="5">
        <v>33.75930257</v>
      </c>
      <c r="R76" s="5">
        <v>32.76221227</v>
      </c>
      <c r="S76" s="5">
        <v>31.80481829</v>
      </c>
      <c r="T76" s="5">
        <v>30.98064775</v>
      </c>
      <c r="U76" s="5">
        <v>30.18522167</v>
      </c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ht="12.75" customHeight="1">
      <c r="A77" s="1"/>
      <c r="B77" s="5">
        <v>11.0</v>
      </c>
      <c r="C77" s="5">
        <v>6.626506024</v>
      </c>
      <c r="D77" s="5">
        <v>7.174425655</v>
      </c>
      <c r="E77" s="5">
        <v>10.71018893</v>
      </c>
      <c r="F77" s="5">
        <v>16.19082261</v>
      </c>
      <c r="G77" s="5">
        <v>26.9953442</v>
      </c>
      <c r="H77" s="5">
        <v>35.24055338</v>
      </c>
      <c r="I77" s="5">
        <v>34.96076002</v>
      </c>
      <c r="J77" s="5">
        <v>32.71744472</v>
      </c>
      <c r="K77" s="5">
        <v>30.68066754</v>
      </c>
      <c r="L77" s="5">
        <v>29.01951965</v>
      </c>
      <c r="M77" s="5">
        <v>27.48789765</v>
      </c>
      <c r="N77" s="5">
        <v>26.80495461</v>
      </c>
      <c r="O77" s="5">
        <v>26.14692654</v>
      </c>
      <c r="P77" s="5">
        <v>26.4590975</v>
      </c>
      <c r="Q77" s="5">
        <v>26.78671329</v>
      </c>
      <c r="R77" s="5">
        <v>26.81945662</v>
      </c>
      <c r="S77" s="5">
        <v>26.85237258</v>
      </c>
      <c r="T77" s="5">
        <v>26.96185767</v>
      </c>
      <c r="U77" s="5">
        <v>27.07239177</v>
      </c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ht="12.75" customHeight="1">
      <c r="A78" s="1"/>
      <c r="B78" s="5">
        <v>11.5</v>
      </c>
      <c r="C78" s="5">
        <v>6.589537849</v>
      </c>
      <c r="D78" s="5">
        <v>7.258826618</v>
      </c>
      <c r="E78" s="5">
        <v>11.94361688</v>
      </c>
      <c r="F78" s="5">
        <v>17.87154659</v>
      </c>
      <c r="G78" s="5">
        <v>29.68799858</v>
      </c>
      <c r="H78" s="5">
        <v>29.40507903</v>
      </c>
      <c r="I78" s="5">
        <v>27.25988225</v>
      </c>
      <c r="J78" s="5">
        <v>25.82160763</v>
      </c>
      <c r="K78" s="5">
        <v>24.48995484</v>
      </c>
      <c r="L78" s="5">
        <v>24.28980571</v>
      </c>
      <c r="M78" s="5">
        <v>24.09202832</v>
      </c>
      <c r="N78" s="5">
        <v>24.19379725</v>
      </c>
      <c r="O78" s="5">
        <v>24.29610149</v>
      </c>
      <c r="P78" s="5">
        <v>24.62933103</v>
      </c>
      <c r="Q78" s="5">
        <v>24.97399792</v>
      </c>
      <c r="R78" s="5">
        <v>25.08855721</v>
      </c>
      <c r="S78" s="5">
        <v>25.2019642</v>
      </c>
      <c r="T78" s="5">
        <v>25.26893348</v>
      </c>
      <c r="U78" s="5">
        <v>25.33743822</v>
      </c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ht="12.75" customHeight="1">
      <c r="A79" s="1"/>
      <c r="B79" s="5">
        <v>12.0</v>
      </c>
      <c r="C79" s="5">
        <v>6.619880909</v>
      </c>
      <c r="D79" s="5">
        <v>8.529205771</v>
      </c>
      <c r="E79" s="5">
        <v>13.31891282</v>
      </c>
      <c r="F79" s="5">
        <v>23.10532341</v>
      </c>
      <c r="G79" s="5">
        <v>24.91929285</v>
      </c>
      <c r="H79" s="5">
        <v>24.29099691</v>
      </c>
      <c r="I79" s="5">
        <v>22.43455872</v>
      </c>
      <c r="J79" s="5">
        <v>22.31981179</v>
      </c>
      <c r="K79" s="5">
        <v>22.20579875</v>
      </c>
      <c r="L79" s="5">
        <v>22.33497467</v>
      </c>
      <c r="M79" s="5">
        <v>22.46524294</v>
      </c>
      <c r="N79" s="5">
        <v>22.68195917</v>
      </c>
      <c r="O79" s="5">
        <v>22.90153936</v>
      </c>
      <c r="P79" s="5">
        <v>23.1708745</v>
      </c>
      <c r="Q79" s="5">
        <v>23.44446083</v>
      </c>
      <c r="R79" s="5">
        <v>23.59920018</v>
      </c>
      <c r="S79" s="5">
        <v>23.75520523</v>
      </c>
      <c r="T79" s="5">
        <v>23.81728836</v>
      </c>
      <c r="U79" s="5">
        <v>23.87952885</v>
      </c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ht="12.75" customHeight="1">
      <c r="A80" s="1"/>
      <c r="B80" s="5">
        <v>12.5</v>
      </c>
      <c r="C80" s="5">
        <v>6.587968759</v>
      </c>
      <c r="D80" s="5">
        <v>9.413940669</v>
      </c>
      <c r="E80" s="5">
        <v>15.09214257</v>
      </c>
      <c r="F80" s="5">
        <v>21.48193096</v>
      </c>
      <c r="G80" s="5">
        <v>20.6165374</v>
      </c>
      <c r="H80" s="5">
        <v>20.51181102</v>
      </c>
      <c r="I80" s="5">
        <v>20.43768838</v>
      </c>
      <c r="J80" s="5">
        <v>20.60196479</v>
      </c>
      <c r="K80" s="5">
        <v>20.7683121</v>
      </c>
      <c r="L80" s="5">
        <v>20.90751484</v>
      </c>
      <c r="M80" s="5">
        <v>21.04811687</v>
      </c>
      <c r="N80" s="5">
        <v>21.38587693</v>
      </c>
      <c r="O80" s="5">
        <v>21.73132282</v>
      </c>
      <c r="P80" s="5">
        <v>21.90600882</v>
      </c>
      <c r="Q80" s="5">
        <v>22.08258279</v>
      </c>
      <c r="R80" s="5">
        <v>22.10602911</v>
      </c>
      <c r="S80" s="5">
        <v>22.12948842</v>
      </c>
      <c r="T80" s="5">
        <v>22.51472651</v>
      </c>
      <c r="U80" s="5">
        <v>22.90903931</v>
      </c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ht="12.75" customHeight="1">
      <c r="A81" s="1"/>
      <c r="B81" s="5">
        <v>13.0</v>
      </c>
      <c r="C81" s="5">
        <v>6.606456124</v>
      </c>
      <c r="D81" s="5">
        <v>10.61390098</v>
      </c>
      <c r="E81" s="5">
        <v>18.85348029</v>
      </c>
      <c r="F81" s="5">
        <v>18.46217789</v>
      </c>
      <c r="G81" s="5">
        <v>18.78798842</v>
      </c>
      <c r="H81" s="5">
        <v>18.83684338</v>
      </c>
      <c r="I81" s="5">
        <v>19.09591387</v>
      </c>
      <c r="J81" s="5">
        <v>19.16410949</v>
      </c>
      <c r="K81" s="5">
        <v>19.23275862</v>
      </c>
      <c r="L81" s="5">
        <v>19.62574196</v>
      </c>
      <c r="M81" s="5">
        <v>20.03043754</v>
      </c>
      <c r="N81" s="5">
        <v>20.2563283</v>
      </c>
      <c r="O81" s="5">
        <v>20.48588736</v>
      </c>
      <c r="P81" s="5">
        <v>20.50290135</v>
      </c>
      <c r="Q81" s="5">
        <v>20.51993291</v>
      </c>
      <c r="R81" s="5">
        <v>20.90339016</v>
      </c>
      <c r="S81" s="5">
        <v>21.29663932</v>
      </c>
      <c r="T81" s="5">
        <v>21.59788996</v>
      </c>
      <c r="U81" s="5">
        <v>21.9048261</v>
      </c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ht="12.75" customHeight="1">
      <c r="A82" s="1"/>
      <c r="B82" s="5">
        <v>13.5</v>
      </c>
      <c r="C82" s="5">
        <v>6.767711563</v>
      </c>
      <c r="D82" s="5">
        <v>10.11292907</v>
      </c>
      <c r="E82" s="5">
        <v>16.30298523</v>
      </c>
      <c r="F82" s="5">
        <v>17.01650165</v>
      </c>
      <c r="G82" s="5">
        <v>17.46966292</v>
      </c>
      <c r="H82" s="5">
        <v>17.72396544</v>
      </c>
      <c r="I82" s="5">
        <v>17.94695143</v>
      </c>
      <c r="J82" s="5">
        <v>18.16654111</v>
      </c>
      <c r="K82" s="5">
        <v>18.39026673</v>
      </c>
      <c r="L82" s="5">
        <v>18.66544465</v>
      </c>
      <c r="M82" s="5">
        <v>18.94667623</v>
      </c>
      <c r="N82" s="5">
        <v>18.98724322</v>
      </c>
      <c r="O82" s="5">
        <v>19.02796112</v>
      </c>
      <c r="P82" s="5">
        <v>19.38609288</v>
      </c>
      <c r="Q82" s="5">
        <v>19.75366424</v>
      </c>
      <c r="R82" s="5">
        <v>20.06723108</v>
      </c>
      <c r="S82" s="5">
        <v>20.3876652</v>
      </c>
      <c r="T82" s="5">
        <v>20.65972443</v>
      </c>
      <c r="U82" s="5">
        <v>20.93669913</v>
      </c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ht="12.75" customHeight="1">
      <c r="A83" s="1"/>
      <c r="B83" s="5">
        <v>14.0</v>
      </c>
      <c r="C83" s="5">
        <v>9.449473942</v>
      </c>
      <c r="D83" s="5">
        <v>14.61013364</v>
      </c>
      <c r="E83" s="5">
        <v>15.37783123</v>
      </c>
      <c r="F83" s="5">
        <v>16.26962529</v>
      </c>
      <c r="G83" s="5">
        <v>16.60917705</v>
      </c>
      <c r="H83" s="5">
        <v>16.84284177</v>
      </c>
      <c r="I83" s="5">
        <v>16.98806941</v>
      </c>
      <c r="J83" s="5">
        <v>17.2686862</v>
      </c>
      <c r="K83" s="5">
        <v>17.55609864</v>
      </c>
      <c r="L83" s="5">
        <v>17.65569196</v>
      </c>
      <c r="M83" s="5">
        <v>17.75622337</v>
      </c>
      <c r="N83" s="5">
        <v>18.05264054</v>
      </c>
      <c r="O83" s="5">
        <v>18.35610148</v>
      </c>
      <c r="P83" s="5">
        <v>18.66384066</v>
      </c>
      <c r="Q83" s="5">
        <v>18.97884841</v>
      </c>
      <c r="R83" s="5">
        <v>19.23560458</v>
      </c>
      <c r="S83" s="5">
        <v>19.49718664</v>
      </c>
      <c r="T83" s="5">
        <v>19.65336703</v>
      </c>
      <c r="U83" s="5">
        <v>19.81122943</v>
      </c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ht="12.75" customHeight="1">
      <c r="A84" s="1"/>
      <c r="B84" s="5">
        <v>14.5</v>
      </c>
      <c r="C84" s="5">
        <v>13.62344741</v>
      </c>
      <c r="D84" s="5">
        <v>13.89305302</v>
      </c>
      <c r="E84" s="5">
        <v>15.39129577</v>
      </c>
      <c r="F84" s="5">
        <v>16.02179004</v>
      </c>
      <c r="G84" s="5">
        <v>16.13382519</v>
      </c>
      <c r="H84" s="5">
        <v>16.39298318</v>
      </c>
      <c r="I84" s="5">
        <v>16.51012315</v>
      </c>
      <c r="J84" s="5">
        <v>16.63674069</v>
      </c>
      <c r="K84" s="5">
        <v>16.7649234</v>
      </c>
      <c r="L84" s="5">
        <v>16.96685495</v>
      </c>
      <c r="M84" s="5">
        <v>17.17234706</v>
      </c>
      <c r="N84" s="5">
        <v>17.4196351</v>
      </c>
      <c r="O84" s="5">
        <v>17.67196928</v>
      </c>
      <c r="P84" s="5">
        <v>17.89837826</v>
      </c>
      <c r="Q84" s="5">
        <v>18.12890974</v>
      </c>
      <c r="R84" s="5">
        <v>18.23014805</v>
      </c>
      <c r="S84" s="5">
        <v>18.33220721</v>
      </c>
      <c r="T84" s="5">
        <v>18.41287772</v>
      </c>
      <c r="U84" s="5">
        <v>18.49405099</v>
      </c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ht="12.75" customHeight="1">
      <c r="A85" s="1"/>
      <c r="B85" s="5">
        <v>15.0</v>
      </c>
      <c r="C85" s="5">
        <v>13.44508469</v>
      </c>
      <c r="D85" s="5">
        <v>14.76959174</v>
      </c>
      <c r="E85" s="5">
        <v>16.39845967</v>
      </c>
      <c r="F85" s="5">
        <v>16.06072753</v>
      </c>
      <c r="G85" s="5">
        <v>16.24759591</v>
      </c>
      <c r="H85" s="5">
        <v>16.08673777</v>
      </c>
      <c r="I85" s="5">
        <v>16.11273571</v>
      </c>
      <c r="J85" s="5">
        <v>16.24219979</v>
      </c>
      <c r="K85" s="5">
        <v>16.37328977</v>
      </c>
      <c r="L85" s="5">
        <v>16.49491943</v>
      </c>
      <c r="M85" s="5">
        <v>16.61782914</v>
      </c>
      <c r="N85" s="5">
        <v>16.77469617</v>
      </c>
      <c r="O85" s="5">
        <v>16.93369588</v>
      </c>
      <c r="P85" s="5">
        <v>16.99559333</v>
      </c>
      <c r="Q85" s="5">
        <v>17.05789474</v>
      </c>
      <c r="R85" s="5">
        <v>17.31840902</v>
      </c>
      <c r="S85" s="5">
        <v>17.58435418</v>
      </c>
      <c r="T85" s="5">
        <v>17.8735195</v>
      </c>
      <c r="U85" s="5">
        <v>18.16923077</v>
      </c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ht="12.75" customHeight="1">
      <c r="A86" s="1"/>
      <c r="B86" s="5">
        <v>15.5</v>
      </c>
      <c r="C86" s="5">
        <v>16.39801672</v>
      </c>
      <c r="D86" s="5">
        <v>17.65439736</v>
      </c>
      <c r="E86" s="5">
        <v>17.76420217</v>
      </c>
      <c r="F86" s="5">
        <v>16.74559806</v>
      </c>
      <c r="G86" s="5">
        <v>16.23695458</v>
      </c>
      <c r="H86" s="5">
        <v>16.44866385</v>
      </c>
      <c r="I86" s="5">
        <v>16.10345853</v>
      </c>
      <c r="J86" s="5">
        <v>16.01253949</v>
      </c>
      <c r="K86" s="5">
        <v>15.92228234</v>
      </c>
      <c r="L86" s="5">
        <v>15.98332347</v>
      </c>
      <c r="M86" s="5">
        <v>16.04473919</v>
      </c>
      <c r="N86" s="5">
        <v>16.16893136</v>
      </c>
      <c r="O86" s="5">
        <v>16.29455346</v>
      </c>
      <c r="P86" s="5">
        <v>16.47435574</v>
      </c>
      <c r="Q86" s="5">
        <v>16.65684382</v>
      </c>
      <c r="R86" s="5">
        <v>16.88756668</v>
      </c>
      <c r="S86" s="5">
        <v>17.12273433</v>
      </c>
      <c r="T86" s="5">
        <v>17.36781549</v>
      </c>
      <c r="U86" s="5">
        <v>17.61778999</v>
      </c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ht="12.75" customHeight="1">
      <c r="A87" s="1"/>
      <c r="B87" s="5">
        <v>16.0</v>
      </c>
      <c r="C87" s="5">
        <v>17.27831094</v>
      </c>
      <c r="D87" s="5">
        <v>18.21194721</v>
      </c>
      <c r="E87" s="5">
        <v>17.59187817</v>
      </c>
      <c r="F87" s="5">
        <v>17.50560196</v>
      </c>
      <c r="G87" s="5">
        <v>16.7313626</v>
      </c>
      <c r="H87" s="5">
        <v>16.18582862</v>
      </c>
      <c r="I87" s="5">
        <v>15.81818182</v>
      </c>
      <c r="J87" s="5">
        <v>15.86481401</v>
      </c>
      <c r="K87" s="5">
        <v>15.91173055</v>
      </c>
      <c r="L87" s="5">
        <v>15.80427663</v>
      </c>
      <c r="M87" s="5">
        <v>15.69785276</v>
      </c>
      <c r="N87" s="5">
        <v>15.77982975</v>
      </c>
      <c r="O87" s="5">
        <v>15.8623685</v>
      </c>
      <c r="P87" s="5">
        <v>16.02488094</v>
      </c>
      <c r="Q87" s="5">
        <v>16.18968386</v>
      </c>
      <c r="R87" s="5">
        <v>16.38912196</v>
      </c>
      <c r="S87" s="5">
        <v>16.59199522</v>
      </c>
      <c r="T87" s="5">
        <v>16.69383469</v>
      </c>
      <c r="U87" s="5">
        <v>16.79658463</v>
      </c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ht="12.75" customHeight="1">
      <c r="A88" s="1"/>
      <c r="B88" s="5">
        <v>16.5</v>
      </c>
      <c r="C88" s="5">
        <v>16.4072804</v>
      </c>
      <c r="D88" s="5">
        <v>17.10839955</v>
      </c>
      <c r="E88" s="5">
        <v>17.4396088</v>
      </c>
      <c r="F88" s="5">
        <v>17.09103421</v>
      </c>
      <c r="G88" s="5">
        <v>16.69072467</v>
      </c>
      <c r="H88" s="5">
        <v>16.48622429</v>
      </c>
      <c r="I88" s="5">
        <v>15.95870206</v>
      </c>
      <c r="J88" s="5">
        <v>15.66151243</v>
      </c>
      <c r="K88" s="5">
        <v>15.37147103</v>
      </c>
      <c r="L88" s="5">
        <v>15.29520637</v>
      </c>
      <c r="M88" s="5">
        <v>15.21947621</v>
      </c>
      <c r="N88" s="5">
        <v>15.27288692</v>
      </c>
      <c r="O88" s="5">
        <v>15.32654006</v>
      </c>
      <c r="P88" s="5">
        <v>15.40171099</v>
      </c>
      <c r="Q88" s="5">
        <v>15.47745729</v>
      </c>
      <c r="R88" s="5">
        <v>15.67837303</v>
      </c>
      <c r="S88" s="5">
        <v>15.88279989</v>
      </c>
      <c r="T88" s="5">
        <v>16.13054956</v>
      </c>
      <c r="U88" s="5">
        <v>16.38366</v>
      </c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ht="12.75" customHeight="1">
      <c r="A89" s="1"/>
      <c r="B89" s="5">
        <v>17.0</v>
      </c>
      <c r="C89" s="5">
        <v>14.88691438</v>
      </c>
      <c r="D89" s="5">
        <v>16.10626557</v>
      </c>
      <c r="E89" s="5">
        <v>16.51804671</v>
      </c>
      <c r="F89" s="5">
        <v>16.89557321</v>
      </c>
      <c r="G89" s="5">
        <v>16.58747505</v>
      </c>
      <c r="H89" s="5">
        <v>16.11038108</v>
      </c>
      <c r="I89" s="5">
        <v>15.58512108</v>
      </c>
      <c r="J89" s="5">
        <v>15.25352944</v>
      </c>
      <c r="K89" s="5">
        <v>14.93105301</v>
      </c>
      <c r="L89" s="5">
        <v>14.91853178</v>
      </c>
      <c r="M89" s="5">
        <v>14.90601504</v>
      </c>
      <c r="N89" s="5">
        <v>14.89514867</v>
      </c>
      <c r="O89" s="5">
        <v>14.88430269</v>
      </c>
      <c r="P89" s="5">
        <v>15.01190423</v>
      </c>
      <c r="Q89" s="5">
        <v>15.14094687</v>
      </c>
      <c r="R89" s="5">
        <v>15.34628186</v>
      </c>
      <c r="S89" s="5">
        <v>15.55545329</v>
      </c>
      <c r="T89" s="5">
        <v>15.75540904</v>
      </c>
      <c r="U89" s="5">
        <v>15.95896187</v>
      </c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ht="12.75" customHeight="1">
      <c r="A90" s="1"/>
      <c r="B90" s="5">
        <v>17.5</v>
      </c>
      <c r="C90" s="5">
        <v>13.56083979</v>
      </c>
      <c r="D90" s="5">
        <v>14.93417239</v>
      </c>
      <c r="E90" s="5">
        <v>15.64254577</v>
      </c>
      <c r="F90" s="5">
        <v>15.89403974</v>
      </c>
      <c r="G90" s="5">
        <v>16.02338113</v>
      </c>
      <c r="H90" s="5">
        <v>15.69989107</v>
      </c>
      <c r="I90" s="5">
        <v>15.54320318</v>
      </c>
      <c r="J90" s="5">
        <v>15.14535917</v>
      </c>
      <c r="K90" s="5">
        <v>14.7603219</v>
      </c>
      <c r="L90" s="5">
        <v>14.59092487</v>
      </c>
      <c r="M90" s="5">
        <v>14.4242685</v>
      </c>
      <c r="N90" s="5">
        <v>14.42828874</v>
      </c>
      <c r="O90" s="5">
        <v>14.4323069</v>
      </c>
      <c r="P90" s="5">
        <v>14.54903148</v>
      </c>
      <c r="Q90" s="5">
        <v>14.66701443</v>
      </c>
      <c r="R90" s="5">
        <v>14.76263266</v>
      </c>
      <c r="S90" s="5">
        <v>14.85914875</v>
      </c>
      <c r="T90" s="5">
        <v>15.06356026</v>
      </c>
      <c r="U90" s="5">
        <v>15.2718655</v>
      </c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ht="12.75" customHeight="1">
      <c r="A91" s="1"/>
      <c r="B91" s="5">
        <v>18.0</v>
      </c>
      <c r="C91" s="5">
        <v>12.2838989</v>
      </c>
      <c r="D91" s="5">
        <v>13.62986863</v>
      </c>
      <c r="E91" s="5">
        <v>14.34549528</v>
      </c>
      <c r="F91" s="5">
        <v>14.971627</v>
      </c>
      <c r="G91" s="5">
        <v>15.55458286</v>
      </c>
      <c r="H91" s="5">
        <v>15.36049881</v>
      </c>
      <c r="I91" s="5">
        <v>15.02782609</v>
      </c>
      <c r="J91" s="5">
        <v>14.64459841</v>
      </c>
      <c r="K91" s="5">
        <v>14.2736913</v>
      </c>
      <c r="L91" s="5">
        <v>14.09868202</v>
      </c>
      <c r="M91" s="5">
        <v>13.92674053</v>
      </c>
      <c r="N91" s="5">
        <v>13.95891999</v>
      </c>
      <c r="O91" s="5">
        <v>13.99120624</v>
      </c>
      <c r="P91" s="5">
        <v>14.08305219</v>
      </c>
      <c r="Q91" s="5">
        <v>14.17565872</v>
      </c>
      <c r="R91" s="5">
        <v>14.32910646</v>
      </c>
      <c r="S91" s="5">
        <v>14.48480733</v>
      </c>
      <c r="T91" s="5">
        <v>14.65708296</v>
      </c>
      <c r="U91" s="5">
        <v>14.83219739</v>
      </c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ht="12.75" customHeight="1">
      <c r="A92" s="1"/>
      <c r="B92" s="5">
        <v>18.5</v>
      </c>
      <c r="C92" s="5">
        <v>10.36230752</v>
      </c>
      <c r="D92" s="5">
        <v>12.09299039</v>
      </c>
      <c r="E92" s="5">
        <v>12.95934959</v>
      </c>
      <c r="F92" s="5">
        <v>14.09513133</v>
      </c>
      <c r="G92" s="5">
        <v>14.52889292</v>
      </c>
      <c r="H92" s="5">
        <v>14.78114478</v>
      </c>
      <c r="I92" s="5">
        <v>14.56558202</v>
      </c>
      <c r="J92" s="5">
        <v>14.35587159</v>
      </c>
      <c r="K92" s="5">
        <v>14.14962059</v>
      </c>
      <c r="L92" s="5">
        <v>13.9247268</v>
      </c>
      <c r="M92" s="5">
        <v>13.70483871</v>
      </c>
      <c r="N92" s="5">
        <v>13.66173396</v>
      </c>
      <c r="O92" s="5">
        <v>13.61886429</v>
      </c>
      <c r="P92" s="5">
        <v>13.69126167</v>
      </c>
      <c r="Q92" s="5">
        <v>13.76412657</v>
      </c>
      <c r="R92" s="5">
        <v>13.84447056</v>
      </c>
      <c r="S92" s="5">
        <v>13.9254618</v>
      </c>
      <c r="T92" s="5">
        <v>14.0388707</v>
      </c>
      <c r="U92" s="5">
        <v>14.15356761</v>
      </c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ht="12.75" customHeight="1">
      <c r="A93" s="1"/>
      <c r="B93" s="5">
        <v>19.0</v>
      </c>
      <c r="C93" s="5">
        <v>8.807007629</v>
      </c>
      <c r="D93" s="5">
        <v>10.5798033</v>
      </c>
      <c r="E93" s="5">
        <v>11.80610067</v>
      </c>
      <c r="F93" s="5">
        <v>13.14068269</v>
      </c>
      <c r="G93" s="5">
        <v>13.42040376</v>
      </c>
      <c r="H93" s="5">
        <v>14.13243113</v>
      </c>
      <c r="I93" s="5">
        <v>14.24018213</v>
      </c>
      <c r="J93" s="5">
        <v>13.98165654</v>
      </c>
      <c r="K93" s="5">
        <v>13.72850318</v>
      </c>
      <c r="L93" s="5">
        <v>13.51801536</v>
      </c>
      <c r="M93" s="5">
        <v>13.3120374</v>
      </c>
      <c r="N93" s="5">
        <v>13.25814342</v>
      </c>
      <c r="O93" s="5">
        <v>13.20461229</v>
      </c>
      <c r="P93" s="5">
        <v>13.24813838</v>
      </c>
      <c r="Q93" s="5">
        <v>13.29186752</v>
      </c>
      <c r="R93" s="5">
        <v>13.3921875</v>
      </c>
      <c r="S93" s="5">
        <v>13.49348406</v>
      </c>
      <c r="T93" s="5">
        <v>13.61823137</v>
      </c>
      <c r="U93" s="5">
        <v>13.74453541</v>
      </c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ht="12.75" customHeight="1">
      <c r="A94" s="1"/>
      <c r="B94" s="5">
        <v>19.5</v>
      </c>
      <c r="C94" s="5">
        <v>7.777948246</v>
      </c>
      <c r="D94" s="5">
        <v>9.158986843</v>
      </c>
      <c r="E94" s="5">
        <v>10.7860978</v>
      </c>
      <c r="F94" s="5">
        <v>12.06215285</v>
      </c>
      <c r="G94" s="5">
        <v>12.28727221</v>
      </c>
      <c r="H94" s="5">
        <v>13.436853</v>
      </c>
      <c r="I94" s="5">
        <v>13.4755061</v>
      </c>
      <c r="J94" s="5">
        <v>13.35808263</v>
      </c>
      <c r="K94" s="5">
        <v>13.24164879</v>
      </c>
      <c r="L94" s="5">
        <v>13.06679317</v>
      </c>
      <c r="M94" s="5">
        <v>12.89517221</v>
      </c>
      <c r="N94" s="5">
        <v>12.89548872</v>
      </c>
      <c r="O94" s="5">
        <v>12.89580514</v>
      </c>
      <c r="P94" s="5">
        <v>12.91672935</v>
      </c>
      <c r="Q94" s="5">
        <v>12.93767876</v>
      </c>
      <c r="R94" s="5">
        <v>13.01378659</v>
      </c>
      <c r="S94" s="5">
        <v>13.09045417</v>
      </c>
      <c r="T94" s="5">
        <v>13.17583003</v>
      </c>
      <c r="U94" s="5">
        <v>13.26195029</v>
      </c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ht="12.75" customHeight="1">
      <c r="A95" s="1"/>
      <c r="B95" s="5">
        <v>20.0</v>
      </c>
      <c r="C95" s="5">
        <v>6.32198696</v>
      </c>
      <c r="D95" s="5">
        <v>7.954415063</v>
      </c>
      <c r="E95" s="5">
        <v>9.892641737</v>
      </c>
      <c r="F95" s="5">
        <v>10.85399091</v>
      </c>
      <c r="G95" s="5">
        <v>11.16554616</v>
      </c>
      <c r="H95" s="5">
        <v>12.39586326</v>
      </c>
      <c r="I95" s="5">
        <v>12.72000587</v>
      </c>
      <c r="J95" s="5">
        <v>12.7694914</v>
      </c>
      <c r="K95" s="5">
        <v>12.81941259</v>
      </c>
      <c r="L95" s="5">
        <v>12.75639608</v>
      </c>
      <c r="M95" s="5">
        <v>12.69380557</v>
      </c>
      <c r="N95" s="5">
        <v>12.62897914</v>
      </c>
      <c r="O95" s="5">
        <v>12.56468187</v>
      </c>
      <c r="P95" s="5">
        <v>12.57278193</v>
      </c>
      <c r="Q95" s="5">
        <v>12.58088021</v>
      </c>
      <c r="R95" s="5">
        <v>12.61312217</v>
      </c>
      <c r="S95" s="5">
        <v>12.64546784</v>
      </c>
      <c r="T95" s="5">
        <v>12.69868035</v>
      </c>
      <c r="U95" s="5">
        <v>12.75220588</v>
      </c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ht="12.75" customHeight="1">
      <c r="A96" s="1"/>
      <c r="B96" s="5">
        <v>20.5</v>
      </c>
      <c r="C96" s="5">
        <v>5.239688272</v>
      </c>
      <c r="D96" s="5">
        <v>5.502674638</v>
      </c>
      <c r="E96" s="5">
        <v>7.480062643</v>
      </c>
      <c r="F96" s="5">
        <v>8.933340878</v>
      </c>
      <c r="G96" s="5">
        <v>10.01164144</v>
      </c>
      <c r="H96" s="5">
        <v>11.32233062</v>
      </c>
      <c r="I96" s="5">
        <v>11.91763727</v>
      </c>
      <c r="J96" s="5">
        <v>12.1439623</v>
      </c>
      <c r="K96" s="5">
        <v>12.37690881</v>
      </c>
      <c r="L96" s="5">
        <v>12.34873037</v>
      </c>
      <c r="M96" s="5">
        <v>12.32065411</v>
      </c>
      <c r="N96" s="5">
        <v>12.2652736</v>
      </c>
      <c r="O96" s="5">
        <v>12.21030346</v>
      </c>
      <c r="P96" s="5">
        <v>12.19856156</v>
      </c>
      <c r="Q96" s="5">
        <v>12.18683951</v>
      </c>
      <c r="R96" s="5">
        <v>12.22375154</v>
      </c>
      <c r="S96" s="5">
        <v>12.26080192</v>
      </c>
      <c r="T96" s="5">
        <v>12.32539992</v>
      </c>
      <c r="U96" s="5">
        <v>12.39040706</v>
      </c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ht="12.75" customHeight="1">
      <c r="A97" s="1"/>
      <c r="B97" s="5">
        <v>21.0</v>
      </c>
      <c r="C97" s="5">
        <v>5.143775872</v>
      </c>
      <c r="D97" s="5">
        <v>5.384320344</v>
      </c>
      <c r="E97" s="5">
        <v>5.875225677</v>
      </c>
      <c r="F97" s="5">
        <v>7.51083869</v>
      </c>
      <c r="G97" s="5">
        <v>8.835975882</v>
      </c>
      <c r="H97" s="5">
        <v>10.23544679</v>
      </c>
      <c r="I97" s="5">
        <v>11.041938</v>
      </c>
      <c r="J97" s="5">
        <v>11.36495065</v>
      </c>
      <c r="K97" s="5">
        <v>11.70162221</v>
      </c>
      <c r="L97" s="5">
        <v>11.79972706</v>
      </c>
      <c r="M97" s="5">
        <v>11.8988818</v>
      </c>
      <c r="N97" s="5">
        <v>11.87155524</v>
      </c>
      <c r="O97" s="5">
        <v>11.84433511</v>
      </c>
      <c r="P97" s="5">
        <v>11.85338346</v>
      </c>
      <c r="Q97" s="5">
        <v>11.86243676</v>
      </c>
      <c r="R97" s="5">
        <v>11.89260413</v>
      </c>
      <c r="S97" s="5">
        <v>11.92283972</v>
      </c>
      <c r="T97" s="5">
        <v>11.97430789</v>
      </c>
      <c r="U97" s="5">
        <v>12.02603127</v>
      </c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ht="12.75" customHeight="1">
      <c r="A98" s="1"/>
      <c r="B98" s="5">
        <v>21.5</v>
      </c>
      <c r="C98" s="5">
        <v>5.037628683</v>
      </c>
      <c r="D98" s="1">
        <v>5.310099307</v>
      </c>
      <c r="E98" s="1">
        <v>5.475427557</v>
      </c>
      <c r="F98" s="1">
        <v>6.621877536</v>
      </c>
      <c r="G98" s="1">
        <v>7.7481399</v>
      </c>
      <c r="H98" s="1">
        <v>9.174771086</v>
      </c>
      <c r="I98" s="1">
        <v>10.08184298</v>
      </c>
      <c r="J98" s="1">
        <v>10.49645642</v>
      </c>
      <c r="K98" s="1">
        <v>10.91106985</v>
      </c>
      <c r="L98" s="1">
        <v>11.17496176</v>
      </c>
      <c r="M98" s="1">
        <v>11.43885367</v>
      </c>
      <c r="N98" s="1">
        <v>11.44305455</v>
      </c>
      <c r="O98" s="1">
        <v>11.44725543</v>
      </c>
      <c r="P98" s="1">
        <v>11.46079662</v>
      </c>
      <c r="Q98" s="1">
        <v>11.4743378</v>
      </c>
      <c r="R98" s="1">
        <v>11.50375172</v>
      </c>
      <c r="S98" s="1">
        <v>11.53316563</v>
      </c>
      <c r="T98" s="1">
        <v>11.57670183</v>
      </c>
      <c r="U98" s="1">
        <v>11.62023802</v>
      </c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ht="12.75" customHeight="1">
      <c r="A99" s="1"/>
      <c r="B99" s="5">
        <v>22.0</v>
      </c>
      <c r="C99" s="5">
        <v>5.014471269</v>
      </c>
      <c r="D99" s="1">
        <v>5.253459525</v>
      </c>
      <c r="E99" s="1">
        <v>5.461035772</v>
      </c>
      <c r="F99" s="1">
        <v>5.470256154</v>
      </c>
      <c r="G99" s="1">
        <v>6.890305887</v>
      </c>
      <c r="H99" s="1">
        <v>8.157771414</v>
      </c>
      <c r="I99" s="1">
        <v>8.711696511</v>
      </c>
      <c r="J99" s="1">
        <v>9.376519316</v>
      </c>
      <c r="K99" s="1">
        <v>10.04134212</v>
      </c>
      <c r="L99" s="1">
        <v>10.44704233</v>
      </c>
      <c r="M99" s="1">
        <v>10.85274254</v>
      </c>
      <c r="N99" s="1">
        <v>10.91152167</v>
      </c>
      <c r="O99" s="1">
        <v>10.9703008</v>
      </c>
      <c r="P99" s="1">
        <v>11.02129729</v>
      </c>
      <c r="Q99" s="1">
        <v>11.07229377</v>
      </c>
      <c r="R99" s="1">
        <v>11.10167823</v>
      </c>
      <c r="S99" s="1">
        <v>11.13106269</v>
      </c>
      <c r="T99" s="1">
        <v>11.1366217</v>
      </c>
      <c r="U99" s="1">
        <v>11.1421807</v>
      </c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ht="12.75" customHeight="1">
      <c r="A100" s="1"/>
      <c r="B100" s="5">
        <v>22.5</v>
      </c>
      <c r="C100" s="5">
        <v>4.960128707</v>
      </c>
      <c r="D100" s="1">
        <v>5.120889401</v>
      </c>
      <c r="E100" s="1">
        <v>5.253607185</v>
      </c>
      <c r="F100" s="1">
        <v>5.353906074</v>
      </c>
      <c r="G100" s="1">
        <v>5.389115338</v>
      </c>
      <c r="H100" s="1">
        <v>7.203470181</v>
      </c>
      <c r="I100" s="1">
        <v>6.988868275</v>
      </c>
      <c r="J100" s="1">
        <v>8.033335042</v>
      </c>
      <c r="K100" s="1">
        <v>9.077801808</v>
      </c>
      <c r="L100" s="1">
        <v>9.600912709</v>
      </c>
      <c r="M100" s="1">
        <v>10.12402361</v>
      </c>
      <c r="N100" s="1">
        <v>10.2952985</v>
      </c>
      <c r="O100" s="1">
        <v>10.46657339</v>
      </c>
      <c r="P100" s="1">
        <v>10.55859234</v>
      </c>
      <c r="Q100" s="1">
        <v>10.65061129</v>
      </c>
      <c r="R100" s="1">
        <v>10.65783918</v>
      </c>
      <c r="S100" s="1">
        <v>10.66506706</v>
      </c>
      <c r="T100" s="1">
        <v>10.71914741</v>
      </c>
      <c r="U100" s="1">
        <v>10.77322776</v>
      </c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ht="12.75" customHeight="1">
      <c r="A101" s="1"/>
      <c r="B101" s="5">
        <v>23.0</v>
      </c>
      <c r="C101" s="5">
        <v>4.900680459</v>
      </c>
      <c r="D101" s="1">
        <v>5.046842893</v>
      </c>
      <c r="E101" s="1">
        <v>5.189587906</v>
      </c>
      <c r="F101" s="1">
        <v>5.332332919</v>
      </c>
      <c r="G101" s="1">
        <v>5.239718496</v>
      </c>
      <c r="H101" s="1">
        <v>5.419013291</v>
      </c>
      <c r="I101" s="1">
        <v>5.313801309</v>
      </c>
      <c r="J101" s="1">
        <v>6.634876217</v>
      </c>
      <c r="K101" s="1">
        <v>7.955951124</v>
      </c>
      <c r="L101" s="1">
        <v>8.691537746</v>
      </c>
      <c r="M101" s="1">
        <v>9.427124367</v>
      </c>
      <c r="N101" s="1">
        <v>9.680418795</v>
      </c>
      <c r="O101" s="1">
        <v>9.933713222</v>
      </c>
      <c r="P101" s="1">
        <v>10.06343645</v>
      </c>
      <c r="Q101" s="1">
        <v>10.19315967</v>
      </c>
      <c r="R101" s="1">
        <v>10.2027426</v>
      </c>
      <c r="S101" s="1">
        <v>10.21232553</v>
      </c>
      <c r="T101" s="1">
        <v>10.2844042</v>
      </c>
      <c r="U101" s="1">
        <v>10.35648286</v>
      </c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</row>
  </sheetData>
  <mergeCells count="6">
    <mergeCell ref="AC2:AD2"/>
    <mergeCell ref="AI2:AJ2"/>
    <mergeCell ref="AK2:AL2"/>
    <mergeCell ref="AC53:AD53"/>
    <mergeCell ref="AI53:AJ53"/>
    <mergeCell ref="AK53:AL53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41" width="8.0"/>
  </cols>
  <sheetData>
    <row r="1" ht="12.75" customHeight="1"/>
    <row r="2" ht="12.75" customHeight="1">
      <c r="C2" s="4" t="s">
        <v>9</v>
      </c>
      <c r="D2" s="4" t="s">
        <v>0</v>
      </c>
      <c r="E2" s="4" t="s">
        <v>0</v>
      </c>
      <c r="F2" s="4" t="s">
        <v>0</v>
      </c>
      <c r="G2" s="4" t="s">
        <v>0</v>
      </c>
      <c r="H2" s="4" t="s">
        <v>0</v>
      </c>
      <c r="I2" s="4" t="s">
        <v>0</v>
      </c>
      <c r="J2" s="4" t="s">
        <v>0</v>
      </c>
      <c r="K2" s="4" t="s">
        <v>0</v>
      </c>
      <c r="L2" s="4" t="s">
        <v>0</v>
      </c>
      <c r="M2" s="4" t="s">
        <v>0</v>
      </c>
      <c r="N2" s="4" t="s">
        <v>0</v>
      </c>
      <c r="O2" s="4" t="s">
        <v>0</v>
      </c>
      <c r="P2" s="4" t="s">
        <v>0</v>
      </c>
      <c r="Q2" s="4" t="s">
        <v>0</v>
      </c>
      <c r="R2" s="4" t="s">
        <v>0</v>
      </c>
      <c r="S2" s="4" t="s">
        <v>0</v>
      </c>
      <c r="T2" s="4" t="s">
        <v>0</v>
      </c>
      <c r="U2" s="4" t="s">
        <v>0</v>
      </c>
      <c r="W2" s="1" t="s">
        <v>1</v>
      </c>
      <c r="X2" s="1"/>
      <c r="Y2" s="1"/>
      <c r="Z2" s="1"/>
      <c r="AA2" s="1"/>
      <c r="AB2" s="1" t="s">
        <v>2</v>
      </c>
      <c r="AC2" s="1" t="s">
        <v>3</v>
      </c>
      <c r="AE2" s="1"/>
      <c r="AF2" s="1"/>
      <c r="AG2" s="1"/>
      <c r="AH2" s="1"/>
      <c r="AI2" s="1" t="s">
        <v>4</v>
      </c>
      <c r="AK2" s="1" t="s">
        <v>5</v>
      </c>
      <c r="AM2" s="1" t="s">
        <v>6</v>
      </c>
      <c r="AN2" s="1" t="s">
        <v>7</v>
      </c>
      <c r="AO2" s="1" t="s">
        <v>0</v>
      </c>
    </row>
    <row r="3" ht="12.75" customHeight="1">
      <c r="C3" s="4">
        <v>50000.0</v>
      </c>
      <c r="D3" s="5">
        <v>75000.0</v>
      </c>
      <c r="E3" s="5">
        <v>100000.0</v>
      </c>
      <c r="F3" s="5">
        <v>125000.0</v>
      </c>
      <c r="G3" s="5">
        <v>150000.0</v>
      </c>
      <c r="H3" s="5">
        <v>175000.0</v>
      </c>
      <c r="I3" s="5">
        <v>200000.0</v>
      </c>
      <c r="J3" s="5">
        <v>225000.0</v>
      </c>
      <c r="K3" s="5">
        <v>250000.0</v>
      </c>
      <c r="L3" s="5">
        <v>275000.0</v>
      </c>
      <c r="M3" s="5">
        <v>300000.0</v>
      </c>
      <c r="N3" s="5">
        <v>325000.0</v>
      </c>
      <c r="O3" s="5">
        <v>350000.0</v>
      </c>
      <c r="P3" s="5">
        <v>375000.0</v>
      </c>
      <c r="Q3" s="5">
        <v>400000.0</v>
      </c>
      <c r="R3" s="5">
        <v>425000.0</v>
      </c>
      <c r="S3" s="5">
        <v>450000.0</v>
      </c>
      <c r="T3" s="5">
        <v>475000.0</v>
      </c>
      <c r="U3" s="5">
        <v>500000.0</v>
      </c>
      <c r="W3" s="2" t="str">
        <f>IF('расчет'!R22&lt;50000,50000,'расчет'!R22)</f>
        <v>163883.2139</v>
      </c>
      <c r="X3" s="2" t="str">
        <f t="shared" ref="X3:X19" si="1">IF((W3&gt;475000),475000,(ROUNDDOWN((W3/25000),0))*25000)</f>
        <v>150000</v>
      </c>
      <c r="Y3" s="2" t="str">
        <f t="shared" ref="Y3:Y19" si="2">X3+25000</f>
        <v>175000</v>
      </c>
      <c r="Z3" s="2" t="str">
        <f t="shared" ref="Z3:Z19" si="3">IF((W3&gt;500000),0,(Y3-W3)/25000)</f>
        <v>0.444671445</v>
      </c>
      <c r="AA3" s="2" t="str">
        <f t="shared" ref="AA3:AA19" si="4">1-Z3</f>
        <v>0.555328555</v>
      </c>
      <c r="AB3" s="2" t="str">
        <f>'расчет'!P22</f>
        <v>7.018095386</v>
      </c>
      <c r="AC3" s="1">
        <v>2.0</v>
      </c>
      <c r="AD3" s="1">
        <v>25.0</v>
      </c>
      <c r="AE3" s="2" t="str">
        <f t="shared" ref="AE3:AE19" si="6">IF(AB3&gt;0,ROUNDDOWN((AB3/0.5),0)*0.5,ROUNDUP((AB3/0.5),0)*0.5)</f>
        <v>7</v>
      </c>
      <c r="AF3" s="2" t="str">
        <f t="shared" ref="AF3:AF19" si="7">AE3+0.5</f>
        <v>7.5</v>
      </c>
      <c r="AG3" s="2" t="str">
        <f t="shared" ref="AG3:AG19" si="8">(AF3-AB3)/0.5</f>
        <v>0.9638092287</v>
      </c>
      <c r="AH3" s="2" t="str">
        <f t="shared" ref="AH3:AH19" si="9">1-AG3</f>
        <v>0.03619077129</v>
      </c>
      <c r="AI3" s="2" t="str">
        <f>VLOOKUP(AE3,B4:U50,(X3/25000),FALSE)</f>
        <v>0.9497875</v>
      </c>
      <c r="AJ3" s="2" t="str">
        <f>VLOOKUP(AF3,B4:U50,(X3/25000),FALSE)</f>
        <v>1.011725</v>
      </c>
      <c r="AK3" s="2" t="str">
        <f>VLOOKUP(AE3,B4:U50,(Y3/25000),FALSE)</f>
        <v>1.0998</v>
      </c>
      <c r="AL3" s="2" t="str">
        <f>VLOOKUP(AF3,B4:U50,(Y3/25000),FALSE)</f>
        <v>1.1655</v>
      </c>
      <c r="AM3" s="2" t="str">
        <f t="shared" ref="AM3:AM19" si="10">AI3*AG3+AJ3*AH3</f>
        <v>0.9520290659</v>
      </c>
      <c r="AN3" s="2" t="str">
        <f t="shared" ref="AN3:AN19" si="11">AK3*AG3+AL3*AH3</f>
        <v>1.102177734</v>
      </c>
      <c r="AO3" s="2" t="str">
        <f t="shared" ref="AO3:AO19" si="12">AM3*Z3+AN3*AA3</f>
        <v>1.035410909</v>
      </c>
    </row>
    <row r="4" ht="12.75" customHeight="1">
      <c r="B4" s="4">
        <v>2.0</v>
      </c>
      <c r="C4" s="4">
        <v>0.01</v>
      </c>
      <c r="D4" s="5">
        <v>0.01</v>
      </c>
      <c r="E4" s="5">
        <v>0.0578</v>
      </c>
      <c r="F4" s="5">
        <v>0.0962</v>
      </c>
      <c r="G4" s="5">
        <v>0.1599</v>
      </c>
      <c r="H4" s="5">
        <v>0.2612</v>
      </c>
      <c r="I4" s="5">
        <v>0.3962</v>
      </c>
      <c r="J4" s="5">
        <v>0.441025</v>
      </c>
      <c r="K4" s="5">
        <v>0.48585</v>
      </c>
      <c r="L4" s="5">
        <v>0.530675</v>
      </c>
      <c r="M4" s="5">
        <v>0.5755</v>
      </c>
      <c r="N4" s="5">
        <v>0.6715125</v>
      </c>
      <c r="O4" s="5">
        <v>0.767525</v>
      </c>
      <c r="P4" s="5">
        <v>0.77890625</v>
      </c>
      <c r="Q4" s="5">
        <v>0.7902875</v>
      </c>
      <c r="R4" s="5">
        <v>0.883250625</v>
      </c>
      <c r="S4" s="5">
        <v>0.97621375</v>
      </c>
      <c r="T4" s="5">
        <v>1.069176875</v>
      </c>
      <c r="U4" s="5">
        <v>1.16214</v>
      </c>
      <c r="W4" s="2" t="str">
        <f>IF('расчет'!R23&lt;50000,50000,'расчет'!R23)</f>
        <v>161126.0378</v>
      </c>
      <c r="X4" s="2" t="str">
        <f t="shared" si="1"/>
        <v>150000</v>
      </c>
      <c r="Y4" s="2" t="str">
        <f t="shared" si="2"/>
        <v>175000</v>
      </c>
      <c r="Z4" s="2" t="str">
        <f t="shared" si="3"/>
        <v>0.5549584897</v>
      </c>
      <c r="AA4" s="2" t="str">
        <f t="shared" si="4"/>
        <v>0.4450415103</v>
      </c>
      <c r="AB4" s="2" t="str">
        <f>'расчет'!P23</f>
        <v>7.75866912</v>
      </c>
      <c r="AC4" s="2" t="str">
        <f t="shared" ref="AC4:AD4" si="5">AC3</f>
        <v>2</v>
      </c>
      <c r="AD4" s="2" t="str">
        <f t="shared" si="5"/>
        <v>25</v>
      </c>
      <c r="AE4" s="2" t="str">
        <f t="shared" si="6"/>
        <v>7.5</v>
      </c>
      <c r="AF4" s="2" t="str">
        <f t="shared" si="7"/>
        <v>8</v>
      </c>
      <c r="AG4" s="2" t="str">
        <f t="shared" si="8"/>
        <v>0.4826617596</v>
      </c>
      <c r="AH4" s="2" t="str">
        <f t="shared" si="9"/>
        <v>0.5173382404</v>
      </c>
      <c r="AI4" s="2" t="str">
        <f>VLOOKUP(AE4,B4:U50,(X4/25000),FALSE)</f>
        <v>1.011725</v>
      </c>
      <c r="AJ4" s="2" t="str">
        <f>VLOOKUP(AF4,B4:U50,(X4/25000),FALSE)</f>
        <v>1.0498125</v>
      </c>
      <c r="AK4" s="2" t="str">
        <f>VLOOKUP(AE4,B4:U50,(Y4/25000),FALSE)</f>
        <v>1.1655</v>
      </c>
      <c r="AL4" s="2" t="str">
        <f>VLOOKUP(AF4,B4:U50,(Y4/25000),FALSE)</f>
        <v>1.208810635</v>
      </c>
      <c r="AM4" s="2" t="str">
        <f t="shared" si="10"/>
        <v>1.03142912</v>
      </c>
      <c r="AN4" s="2" t="str">
        <f t="shared" si="11"/>
        <v>1.187906248</v>
      </c>
      <c r="AO4" s="2" t="str">
        <f t="shared" si="12"/>
        <v>1.101067937</v>
      </c>
    </row>
    <row r="5" ht="12.75" customHeight="1">
      <c r="B5" s="4">
        <v>2.5</v>
      </c>
      <c r="C5" s="4">
        <v>0.03</v>
      </c>
      <c r="D5" s="5">
        <v>0.0509</v>
      </c>
      <c r="E5" s="5">
        <v>0.1285</v>
      </c>
      <c r="F5" s="5">
        <v>0.0926</v>
      </c>
      <c r="G5" s="5">
        <v>0.1354</v>
      </c>
      <c r="H5" s="5">
        <v>0.3571</v>
      </c>
      <c r="I5" s="5">
        <v>0.45724125</v>
      </c>
      <c r="J5" s="5">
        <v>0.507311875</v>
      </c>
      <c r="K5" s="5">
        <v>0.5573825</v>
      </c>
      <c r="L5" s="5">
        <v>0.65224125</v>
      </c>
      <c r="M5" s="5">
        <v>0.7471</v>
      </c>
      <c r="N5" s="5">
        <v>0.79819375</v>
      </c>
      <c r="O5" s="5">
        <v>0.8492875</v>
      </c>
      <c r="P5" s="5">
        <v>0.859759375</v>
      </c>
      <c r="Q5" s="5">
        <v>0.87023125</v>
      </c>
      <c r="R5" s="5">
        <v>0.969363438</v>
      </c>
      <c r="S5" s="5">
        <v>1.068495625</v>
      </c>
      <c r="T5" s="5">
        <v>1.167627813</v>
      </c>
      <c r="U5" s="5">
        <v>1.26676</v>
      </c>
      <c r="W5" s="2" t="str">
        <f>IF('расчет'!R24&lt;50000,50000,'расчет'!R24)</f>
        <v>158297.851</v>
      </c>
      <c r="X5" s="2" t="str">
        <f t="shared" si="1"/>
        <v>150000</v>
      </c>
      <c r="Y5" s="2" t="str">
        <f t="shared" si="2"/>
        <v>175000</v>
      </c>
      <c r="Z5" s="2" t="str">
        <f t="shared" si="3"/>
        <v>0.6680859584</v>
      </c>
      <c r="AA5" s="2" t="str">
        <f t="shared" si="4"/>
        <v>0.3319140416</v>
      </c>
      <c r="AB5" s="2" t="str">
        <f>'расчет'!P24</f>
        <v>8.407959642</v>
      </c>
      <c r="AC5" s="2" t="str">
        <f t="shared" ref="AC5:AD5" si="13">AC4</f>
        <v>2</v>
      </c>
      <c r="AD5" s="2" t="str">
        <f t="shared" si="13"/>
        <v>25</v>
      </c>
      <c r="AE5" s="2" t="str">
        <f t="shared" si="6"/>
        <v>8</v>
      </c>
      <c r="AF5" s="2" t="str">
        <f t="shared" si="7"/>
        <v>8.5</v>
      </c>
      <c r="AG5" s="2" t="str">
        <f t="shared" si="8"/>
        <v>0.1840807162</v>
      </c>
      <c r="AH5" s="2" t="str">
        <f t="shared" si="9"/>
        <v>0.8159192838</v>
      </c>
      <c r="AI5" s="2" t="str">
        <f>VLOOKUP(AE5,B4:U50,(X5/25000),FALSE)</f>
        <v>1.0498125</v>
      </c>
      <c r="AJ5" s="2" t="str">
        <f>VLOOKUP(AF5,B4:U50,(X5/25000),FALSE)</f>
        <v>1.0879</v>
      </c>
      <c r="AK5" s="2" t="str">
        <f>VLOOKUP(AE5,B4:U50,(Y5/25000),FALSE)</f>
        <v>1.208810635</v>
      </c>
      <c r="AL5" s="2" t="str">
        <f>VLOOKUP(AF5,B4:U50,(Y5/25000),FALSE)</f>
        <v>1.252121269</v>
      </c>
      <c r="AM5" s="2" t="str">
        <f t="shared" si="10"/>
        <v>1.080888826</v>
      </c>
      <c r="AN5" s="2" t="str">
        <f t="shared" si="11"/>
        <v>1.244148616</v>
      </c>
      <c r="AO5" s="2" t="str">
        <f t="shared" si="12"/>
        <v>1.135077043</v>
      </c>
    </row>
    <row r="6" ht="12.75" customHeight="1">
      <c r="B6" s="4">
        <v>3.0</v>
      </c>
      <c r="C6" s="4">
        <v>0.0573</v>
      </c>
      <c r="D6" s="5">
        <v>0.1004</v>
      </c>
      <c r="E6" s="5">
        <v>0.1235</v>
      </c>
      <c r="F6" s="5">
        <v>0.2102</v>
      </c>
      <c r="G6" s="5">
        <v>0.2111</v>
      </c>
      <c r="H6" s="5">
        <v>0.436833333</v>
      </c>
      <c r="I6" s="5">
        <v>0.532874167</v>
      </c>
      <c r="J6" s="5">
        <v>0.580894583</v>
      </c>
      <c r="K6" s="5">
        <v>0.628915</v>
      </c>
      <c r="L6" s="5">
        <v>0.70444875</v>
      </c>
      <c r="M6" s="5">
        <v>0.7799825</v>
      </c>
      <c r="N6" s="5">
        <v>0.85551625</v>
      </c>
      <c r="O6" s="5">
        <v>0.93105</v>
      </c>
      <c r="P6" s="5">
        <v>0.9406125</v>
      </c>
      <c r="Q6" s="5">
        <v>0.950175</v>
      </c>
      <c r="R6" s="5">
        <v>1.05547625</v>
      </c>
      <c r="S6" s="5">
        <v>1.1607775</v>
      </c>
      <c r="T6" s="5">
        <v>1.26607875</v>
      </c>
      <c r="U6" s="5">
        <v>1.37138</v>
      </c>
      <c r="W6" s="2" t="str">
        <f>IF('расчет'!R25&lt;50000,50000,'расчет'!R25)</f>
        <v>155303.7932</v>
      </c>
      <c r="X6" s="2" t="str">
        <f t="shared" si="1"/>
        <v>150000</v>
      </c>
      <c r="Y6" s="2" t="str">
        <f t="shared" si="2"/>
        <v>175000</v>
      </c>
      <c r="Z6" s="2" t="str">
        <f t="shared" si="3"/>
        <v>0.7878482728</v>
      </c>
      <c r="AA6" s="2" t="str">
        <f t="shared" si="4"/>
        <v>0.2121517272</v>
      </c>
      <c r="AB6" s="2" t="str">
        <f>'расчет'!P25</f>
        <v>8.972215942</v>
      </c>
      <c r="AC6" s="2" t="str">
        <f t="shared" ref="AC6:AD6" si="14">AC5</f>
        <v>2</v>
      </c>
      <c r="AD6" s="2" t="str">
        <f t="shared" si="14"/>
        <v>25</v>
      </c>
      <c r="AE6" s="2" t="str">
        <f t="shared" si="6"/>
        <v>8.5</v>
      </c>
      <c r="AF6" s="2" t="str">
        <f t="shared" si="7"/>
        <v>9</v>
      </c>
      <c r="AG6" s="2" t="str">
        <f t="shared" si="8"/>
        <v>0.05556811655</v>
      </c>
      <c r="AH6" s="2" t="str">
        <f t="shared" si="9"/>
        <v>0.9444318834</v>
      </c>
      <c r="AI6" s="2" t="str">
        <f>VLOOKUP(AE6,B4:U50,(X6/25000),FALSE)</f>
        <v>1.0879</v>
      </c>
      <c r="AJ6" s="2" t="str">
        <f>VLOOKUP(AF6,B4:U50,(X6/25000),FALSE)</f>
        <v>1.134708147</v>
      </c>
      <c r="AK6" s="2" t="str">
        <f>VLOOKUP(AE6,B4:U50,(Y6/25000),FALSE)</f>
        <v>1.252121269</v>
      </c>
      <c r="AL6" s="2" t="str">
        <f>VLOOKUP(AF6,B4:U50,(Y6/25000),FALSE)</f>
        <v>1.295431904</v>
      </c>
      <c r="AM6" s="2" t="str">
        <f t="shared" si="10"/>
        <v>1.132107106</v>
      </c>
      <c r="AN6" s="2" t="str">
        <f t="shared" si="11"/>
        <v>1.293025214</v>
      </c>
      <c r="AO6" s="2" t="str">
        <f t="shared" si="12"/>
        <v>1.166246161</v>
      </c>
    </row>
    <row r="7" ht="12.75" customHeight="1">
      <c r="B7" s="4">
        <v>3.5</v>
      </c>
      <c r="C7" s="4">
        <v>0.1542</v>
      </c>
      <c r="D7" s="5">
        <v>0.1963</v>
      </c>
      <c r="E7" s="5">
        <v>0.196</v>
      </c>
      <c r="F7" s="5">
        <v>0.2808</v>
      </c>
      <c r="G7" s="5">
        <v>0.2863</v>
      </c>
      <c r="H7" s="5">
        <v>0.516566667</v>
      </c>
      <c r="I7" s="5">
        <v>0.608507083</v>
      </c>
      <c r="J7" s="5">
        <v>0.654477292</v>
      </c>
      <c r="K7" s="5">
        <v>0.7004475</v>
      </c>
      <c r="L7" s="5">
        <v>0.77853875</v>
      </c>
      <c r="M7" s="5">
        <v>0.85663</v>
      </c>
      <c r="N7" s="5">
        <v>0.93472125</v>
      </c>
      <c r="O7" s="5">
        <v>1.0128125</v>
      </c>
      <c r="P7" s="5">
        <v>1.021465625</v>
      </c>
      <c r="Q7" s="5">
        <v>1.03011875</v>
      </c>
      <c r="R7" s="5">
        <v>1.141589063</v>
      </c>
      <c r="S7" s="5">
        <v>1.253059375</v>
      </c>
      <c r="T7" s="5">
        <v>1.364529688</v>
      </c>
      <c r="U7" s="5">
        <v>1.476</v>
      </c>
      <c r="W7" s="2" t="str">
        <f>IF('расчет'!R26&lt;50000,50000,'расчет'!R26)</f>
        <v>152048.384</v>
      </c>
      <c r="X7" s="2" t="str">
        <f t="shared" si="1"/>
        <v>150000</v>
      </c>
      <c r="Y7" s="2" t="str">
        <f t="shared" si="2"/>
        <v>175000</v>
      </c>
      <c r="Z7" s="2" t="str">
        <f t="shared" si="3"/>
        <v>0.9180646404</v>
      </c>
      <c r="AA7" s="2" t="str">
        <f t="shared" si="4"/>
        <v>0.08193535957</v>
      </c>
      <c r="AB7" s="2" t="str">
        <f>'расчет'!P26</f>
        <v>9.459475009</v>
      </c>
      <c r="AC7" s="2" t="str">
        <f t="shared" ref="AC7:AD7" si="15">AC6</f>
        <v>2</v>
      </c>
      <c r="AD7" s="2" t="str">
        <f t="shared" si="15"/>
        <v>25</v>
      </c>
      <c r="AE7" s="2" t="str">
        <f t="shared" si="6"/>
        <v>9</v>
      </c>
      <c r="AF7" s="2" t="str">
        <f t="shared" si="7"/>
        <v>9.5</v>
      </c>
      <c r="AG7" s="2" t="str">
        <f t="shared" si="8"/>
        <v>0.08104998293</v>
      </c>
      <c r="AH7" s="2" t="str">
        <f t="shared" si="9"/>
        <v>0.9189500171</v>
      </c>
      <c r="AI7" s="2" t="str">
        <f>VLOOKUP(AE7,B4:U50,(X7/25000),FALSE)</f>
        <v>1.134708147</v>
      </c>
      <c r="AJ7" s="2" t="str">
        <f>VLOOKUP(AF7,B4:U50,(X7/25000),FALSE)</f>
        <v>1.181516295</v>
      </c>
      <c r="AK7" s="2" t="str">
        <f>VLOOKUP(AE7,B4:U50,(Y7/25000),FALSE)</f>
        <v>1.295431904</v>
      </c>
      <c r="AL7" s="2" t="str">
        <f>VLOOKUP(AF7,B4:U50,(Y7/25000),FALSE)</f>
        <v>1.338742538</v>
      </c>
      <c r="AM7" s="2" t="str">
        <f t="shared" si="10"/>
        <v>1.177722495</v>
      </c>
      <c r="AN7" s="2" t="str">
        <f t="shared" si="11"/>
        <v>1.335232212</v>
      </c>
      <c r="AO7" s="2" t="str">
        <f t="shared" si="12"/>
        <v>1.190628111</v>
      </c>
    </row>
    <row r="8" ht="12.75" customHeight="1">
      <c r="B8" s="4">
        <v>4.0</v>
      </c>
      <c r="C8" s="4">
        <v>0.2453</v>
      </c>
      <c r="D8" s="5">
        <v>0.2664</v>
      </c>
      <c r="E8" s="5">
        <v>0.2685</v>
      </c>
      <c r="F8" s="5">
        <v>0.2988</v>
      </c>
      <c r="G8" s="5">
        <v>0.3615</v>
      </c>
      <c r="H8" s="5">
        <v>0.5963</v>
      </c>
      <c r="I8" s="5">
        <v>0.68414</v>
      </c>
      <c r="J8" s="5">
        <v>0.72806</v>
      </c>
      <c r="K8" s="5">
        <v>0.77198</v>
      </c>
      <c r="L8" s="5">
        <v>0.85262875</v>
      </c>
      <c r="M8" s="5">
        <v>0.9332775</v>
      </c>
      <c r="N8" s="5">
        <v>1.01392625</v>
      </c>
      <c r="O8" s="5">
        <v>1.094575</v>
      </c>
      <c r="P8" s="5">
        <v>1.10231875</v>
      </c>
      <c r="Q8" s="5">
        <v>1.1100625</v>
      </c>
      <c r="R8" s="5">
        <v>1.2133125</v>
      </c>
      <c r="S8" s="5">
        <v>1.3165625</v>
      </c>
      <c r="T8" s="5">
        <v>1.4198125</v>
      </c>
      <c r="U8" s="5">
        <v>1.5230625</v>
      </c>
      <c r="W8" s="2" t="str">
        <f>IF('расчет'!R27&lt;50000,50000,'расчет'!R27)</f>
        <v>148436.2342</v>
      </c>
      <c r="X8" s="2" t="str">
        <f t="shared" si="1"/>
        <v>125000</v>
      </c>
      <c r="Y8" s="2" t="str">
        <f t="shared" si="2"/>
        <v>150000</v>
      </c>
      <c r="Z8" s="2" t="str">
        <f t="shared" si="3"/>
        <v>0.06255063385</v>
      </c>
      <c r="AA8" s="2" t="str">
        <f t="shared" si="4"/>
        <v>0.9374493661</v>
      </c>
      <c r="AB8" s="2" t="str">
        <f>'расчет'!P27</f>
        <v>9.880167544</v>
      </c>
      <c r="AC8" s="2" t="str">
        <f t="shared" ref="AC8:AD8" si="16">AC7</f>
        <v>2</v>
      </c>
      <c r="AD8" s="2" t="str">
        <f t="shared" si="16"/>
        <v>25</v>
      </c>
      <c r="AE8" s="2" t="str">
        <f t="shared" si="6"/>
        <v>9.5</v>
      </c>
      <c r="AF8" s="2" t="str">
        <f t="shared" si="7"/>
        <v>10</v>
      </c>
      <c r="AG8" s="2" t="str">
        <f t="shared" si="8"/>
        <v>0.2396649114</v>
      </c>
      <c r="AH8" s="2" t="str">
        <f t="shared" si="9"/>
        <v>0.7603350886</v>
      </c>
      <c r="AI8" s="2" t="str">
        <f>VLOOKUP(AE8,B4:U50,(X8/25000),FALSE)</f>
        <v>1.1044</v>
      </c>
      <c r="AJ8" s="2" t="str">
        <f>VLOOKUP(AF8,B4:U50,(X8/25000),FALSE)</f>
        <v>1.1069</v>
      </c>
      <c r="AK8" s="2" t="str">
        <f>VLOOKUP(AE8,B4:U50,(Y8/25000),FALSE)</f>
        <v>1.181516295</v>
      </c>
      <c r="AL8" s="2" t="str">
        <f>VLOOKUP(AF8,B4:U50,(Y8/25000),FALSE)</f>
        <v>1.228324442</v>
      </c>
      <c r="AM8" s="2" t="str">
        <f t="shared" si="10"/>
        <v>1.106300838</v>
      </c>
      <c r="AN8" s="2" t="str">
        <f t="shared" si="11"/>
        <v>1.217106172</v>
      </c>
      <c r="AO8" s="2" t="str">
        <f t="shared" si="12"/>
        <v>1.210175228</v>
      </c>
    </row>
    <row r="9" ht="12.75" customHeight="1">
      <c r="B9" s="4">
        <v>4.5</v>
      </c>
      <c r="C9" s="4">
        <v>0.2649</v>
      </c>
      <c r="D9" s="5">
        <v>0.3365</v>
      </c>
      <c r="E9" s="5">
        <v>0.341</v>
      </c>
      <c r="F9" s="5">
        <v>0.3906</v>
      </c>
      <c r="G9" s="5">
        <v>0.4402</v>
      </c>
      <c r="H9" s="5">
        <v>0.679</v>
      </c>
      <c r="I9" s="5">
        <v>0.76125625</v>
      </c>
      <c r="J9" s="5">
        <v>0.802384375</v>
      </c>
      <c r="K9" s="5">
        <v>0.8435125</v>
      </c>
      <c r="L9" s="5">
        <v>0.92671875</v>
      </c>
      <c r="M9" s="5">
        <v>1.009925</v>
      </c>
      <c r="N9" s="5">
        <v>1.09313125</v>
      </c>
      <c r="O9" s="5">
        <v>1.1763375</v>
      </c>
      <c r="P9" s="5">
        <v>1.183171875</v>
      </c>
      <c r="Q9" s="5">
        <v>1.19000625</v>
      </c>
      <c r="R9" s="5">
        <v>1.285035938</v>
      </c>
      <c r="S9" s="5">
        <v>1.380065625</v>
      </c>
      <c r="T9" s="5">
        <v>1.475095313</v>
      </c>
      <c r="U9" s="5">
        <v>1.570125</v>
      </c>
      <c r="W9" s="2" t="str">
        <f>IF('расчет'!R28&lt;50000,50000,'расчет'!R28)</f>
        <v>144372.9701</v>
      </c>
      <c r="X9" s="2" t="str">
        <f t="shared" si="1"/>
        <v>125000</v>
      </c>
      <c r="Y9" s="2" t="str">
        <f t="shared" si="2"/>
        <v>150000</v>
      </c>
      <c r="Z9" s="2" t="str">
        <f t="shared" si="3"/>
        <v>0.2250811965</v>
      </c>
      <c r="AA9" s="2" t="str">
        <f t="shared" si="4"/>
        <v>0.7749188035</v>
      </c>
      <c r="AB9" s="2" t="str">
        <f>'расчет'!P28</f>
        <v>10.2479629</v>
      </c>
      <c r="AC9" s="2" t="str">
        <f t="shared" ref="AC9:AD9" si="17">AC8</f>
        <v>2</v>
      </c>
      <c r="AD9" s="2" t="str">
        <f t="shared" si="17"/>
        <v>25</v>
      </c>
      <c r="AE9" s="2" t="str">
        <f t="shared" si="6"/>
        <v>10</v>
      </c>
      <c r="AF9" s="2" t="str">
        <f t="shared" si="7"/>
        <v>10.5</v>
      </c>
      <c r="AG9" s="2" t="str">
        <f t="shared" si="8"/>
        <v>0.5040741949</v>
      </c>
      <c r="AH9" s="2" t="str">
        <f t="shared" si="9"/>
        <v>0.4959258051</v>
      </c>
      <c r="AI9" s="2" t="str">
        <f>VLOOKUP(AE9,B4:U50,(X9/25000),FALSE)</f>
        <v>1.1069</v>
      </c>
      <c r="AJ9" s="2" t="str">
        <f>VLOOKUP(AF9,B4:U50,(X9/25000),FALSE)</f>
        <v>1.1656</v>
      </c>
      <c r="AK9" s="2" t="str">
        <f>VLOOKUP(AE9,B4:U50,(Y9/25000),FALSE)</f>
        <v>1.228324442</v>
      </c>
      <c r="AL9" s="2" t="str">
        <f>VLOOKUP(AF9,B4:U50,(Y9/25000),FALSE)</f>
        <v>1.275132589</v>
      </c>
      <c r="AM9" s="2" t="str">
        <f t="shared" si="10"/>
        <v>1.136010845</v>
      </c>
      <c r="AN9" s="2" t="str">
        <f t="shared" si="11"/>
        <v>1.25153781</v>
      </c>
      <c r="AO9" s="2" t="str">
        <f t="shared" si="12"/>
        <v>1.225534862</v>
      </c>
    </row>
    <row r="10" ht="12.75" customHeight="1">
      <c r="B10" s="4">
        <v>5.0</v>
      </c>
      <c r="C10" s="4">
        <v>0.367</v>
      </c>
      <c r="D10" s="5">
        <v>0.4072</v>
      </c>
      <c r="E10" s="5">
        <v>0.420433333</v>
      </c>
      <c r="F10" s="5">
        <v>0.511816667</v>
      </c>
      <c r="G10" s="5">
        <v>0.6032</v>
      </c>
      <c r="H10" s="5">
        <v>0.7617</v>
      </c>
      <c r="I10" s="5">
        <v>0.8383725</v>
      </c>
      <c r="J10" s="5">
        <v>0.87670875</v>
      </c>
      <c r="K10" s="5">
        <v>0.915045</v>
      </c>
      <c r="L10" s="5">
        <v>1.00080875</v>
      </c>
      <c r="M10" s="5">
        <v>1.0865725</v>
      </c>
      <c r="N10" s="5">
        <v>1.17233625</v>
      </c>
      <c r="O10" s="5">
        <v>1.2581</v>
      </c>
      <c r="P10" s="5">
        <v>1.264025</v>
      </c>
      <c r="Q10" s="5">
        <v>1.26995</v>
      </c>
      <c r="R10" s="5">
        <v>1.356759375</v>
      </c>
      <c r="S10" s="5">
        <v>1.44356875</v>
      </c>
      <c r="T10" s="5">
        <v>1.530378125</v>
      </c>
      <c r="U10" s="5">
        <v>1.6171875</v>
      </c>
      <c r="W10" s="2" t="str">
        <f>IF('расчет'!R29&lt;50000,50000,'расчет'!R29)</f>
        <v>139766.3665</v>
      </c>
      <c r="X10" s="2" t="str">
        <f t="shared" si="1"/>
        <v>125000</v>
      </c>
      <c r="Y10" s="2" t="str">
        <f t="shared" si="2"/>
        <v>150000</v>
      </c>
      <c r="Z10" s="2" t="str">
        <f t="shared" si="3"/>
        <v>0.4093453385</v>
      </c>
      <c r="AA10" s="2" t="str">
        <f t="shared" si="4"/>
        <v>0.5906546615</v>
      </c>
      <c r="AB10" s="2" t="str">
        <f>'расчет'!P29</f>
        <v>10.5809717</v>
      </c>
      <c r="AC10" s="2" t="str">
        <f t="shared" ref="AC10:AD10" si="18">AC9</f>
        <v>2</v>
      </c>
      <c r="AD10" s="2" t="str">
        <f t="shared" si="18"/>
        <v>25</v>
      </c>
      <c r="AE10" s="2" t="str">
        <f t="shared" si="6"/>
        <v>10.5</v>
      </c>
      <c r="AF10" s="2" t="str">
        <f t="shared" si="7"/>
        <v>11</v>
      </c>
      <c r="AG10" s="2" t="str">
        <f t="shared" si="8"/>
        <v>0.8380565967</v>
      </c>
      <c r="AH10" s="2" t="str">
        <f t="shared" si="9"/>
        <v>0.1619434033</v>
      </c>
      <c r="AI10" s="2" t="str">
        <f>VLOOKUP(AE10,B4:U50,(X10/25000),FALSE)</f>
        <v>1.1656</v>
      </c>
      <c r="AJ10" s="2" t="str">
        <f>VLOOKUP(AF10,B4:U50,(X10/25000),FALSE)</f>
        <v>1.2287</v>
      </c>
      <c r="AK10" s="2" t="str">
        <f>VLOOKUP(AE10,B4:U50,(Y10/25000),FALSE)</f>
        <v>1.275132589</v>
      </c>
      <c r="AL10" s="2" t="str">
        <f>VLOOKUP(AF10,B4:U50,(Y10/25000),FALSE)</f>
        <v>1.321940737</v>
      </c>
      <c r="AM10" s="2" t="str">
        <f t="shared" si="10"/>
        <v>1.175818629</v>
      </c>
      <c r="AN10" s="2" t="str">
        <f t="shared" si="11"/>
        <v>1.28271286</v>
      </c>
      <c r="AO10" s="2" t="str">
        <f t="shared" si="12"/>
        <v>1.238956205</v>
      </c>
    </row>
    <row r="11" ht="12.75" customHeight="1">
      <c r="B11" s="4">
        <v>5.5</v>
      </c>
      <c r="C11" s="4">
        <v>0.4475</v>
      </c>
      <c r="D11" s="5">
        <v>0.4778</v>
      </c>
      <c r="E11" s="5">
        <v>0.499866667</v>
      </c>
      <c r="F11" s="5">
        <v>0.588333333</v>
      </c>
      <c r="G11" s="5">
        <v>0.6768</v>
      </c>
      <c r="H11" s="5">
        <v>0.8444</v>
      </c>
      <c r="I11" s="5">
        <v>0.91548875</v>
      </c>
      <c r="J11" s="5">
        <v>0.951033125</v>
      </c>
      <c r="K11" s="5">
        <v>0.9865775</v>
      </c>
      <c r="L11" s="5">
        <v>1.07489875</v>
      </c>
      <c r="M11" s="5">
        <v>1.16322</v>
      </c>
      <c r="N11" s="5">
        <v>1.25154125</v>
      </c>
      <c r="O11" s="5">
        <v>1.3398625</v>
      </c>
      <c r="P11" s="5">
        <v>1.344878125</v>
      </c>
      <c r="Q11" s="5">
        <v>1.34989375</v>
      </c>
      <c r="R11" s="5">
        <v>1.510896875</v>
      </c>
      <c r="S11" s="5">
        <v>1.6719</v>
      </c>
      <c r="T11" s="5">
        <v>1.668075</v>
      </c>
      <c r="U11" s="5">
        <v>1.66425</v>
      </c>
      <c r="W11" s="2" t="str">
        <f>IF('расчет'!R30&lt;50000,50000,'расчет'!R30)</f>
        <v>134527.6688</v>
      </c>
      <c r="X11" s="2" t="str">
        <f t="shared" si="1"/>
        <v>125000</v>
      </c>
      <c r="Y11" s="2" t="str">
        <f t="shared" si="2"/>
        <v>150000</v>
      </c>
      <c r="Z11" s="2" t="str">
        <f t="shared" si="3"/>
        <v>0.6188932465</v>
      </c>
      <c r="AA11" s="2" t="str">
        <f t="shared" si="4"/>
        <v>0.3811067535</v>
      </c>
      <c r="AB11" s="2" t="str">
        <f>'расчет'!P30</f>
        <v>10.90349584</v>
      </c>
      <c r="AC11" s="2" t="str">
        <f t="shared" ref="AC11:AD11" si="19">AC10</f>
        <v>2</v>
      </c>
      <c r="AD11" s="2" t="str">
        <f t="shared" si="19"/>
        <v>25</v>
      </c>
      <c r="AE11" s="2" t="str">
        <f t="shared" si="6"/>
        <v>10.5</v>
      </c>
      <c r="AF11" s="2" t="str">
        <f t="shared" si="7"/>
        <v>11</v>
      </c>
      <c r="AG11" s="2" t="str">
        <f t="shared" si="8"/>
        <v>0.1930083163</v>
      </c>
      <c r="AH11" s="2" t="str">
        <f t="shared" si="9"/>
        <v>0.8069916837</v>
      </c>
      <c r="AI11" s="2" t="str">
        <f>VLOOKUP(AE11,B4:U50,(X11/25000),FALSE)</f>
        <v>1.1656</v>
      </c>
      <c r="AJ11" s="2" t="str">
        <f>VLOOKUP(AF11,B4:U50,(X11/25000),FALSE)</f>
        <v>1.2287</v>
      </c>
      <c r="AK11" s="2" t="str">
        <f>VLOOKUP(AE11,B4:U50,(Y11/25000),FALSE)</f>
        <v>1.275132589</v>
      </c>
      <c r="AL11" s="2" t="str">
        <f>VLOOKUP(AF11,B4:U50,(Y11/25000),FALSE)</f>
        <v>1.321940737</v>
      </c>
      <c r="AM11" s="2" t="str">
        <f t="shared" si="10"/>
        <v>1.216521175</v>
      </c>
      <c r="AN11" s="2" t="str">
        <f t="shared" si="11"/>
        <v>1.312906375</v>
      </c>
      <c r="AO11" s="2" t="str">
        <f t="shared" si="12"/>
        <v>1.253254226</v>
      </c>
    </row>
    <row r="12" ht="12.75" customHeight="1">
      <c r="B12" s="4">
        <v>6.0</v>
      </c>
      <c r="C12" s="4">
        <v>0.487</v>
      </c>
      <c r="D12" s="5">
        <v>0.5721</v>
      </c>
      <c r="E12" s="5">
        <v>0.5793</v>
      </c>
      <c r="F12" s="5">
        <v>0.65895</v>
      </c>
      <c r="G12" s="5">
        <v>0.7386</v>
      </c>
      <c r="H12" s="5">
        <v>0.9684</v>
      </c>
      <c r="I12" s="5">
        <v>1.013255</v>
      </c>
      <c r="J12" s="5">
        <v>1.0356825</v>
      </c>
      <c r="K12" s="5">
        <v>1.05811</v>
      </c>
      <c r="L12" s="5">
        <v>1.14898875</v>
      </c>
      <c r="M12" s="5">
        <v>1.2398675</v>
      </c>
      <c r="N12" s="5">
        <v>1.33074625</v>
      </c>
      <c r="O12" s="5">
        <v>1.421625</v>
      </c>
      <c r="P12" s="5">
        <v>1.42573125</v>
      </c>
      <c r="Q12" s="5">
        <v>1.4298375</v>
      </c>
      <c r="R12" s="5">
        <v>1.58041875</v>
      </c>
      <c r="S12" s="5">
        <v>1.731</v>
      </c>
      <c r="T12" s="5">
        <v>1.72115625</v>
      </c>
      <c r="U12" s="5">
        <v>1.7113125</v>
      </c>
      <c r="W12" s="2" t="str">
        <f>IF('расчет'!R31&lt;50000,50000,'расчет'!R31)</f>
        <v>128573.0727</v>
      </c>
      <c r="X12" s="2" t="str">
        <f t="shared" si="1"/>
        <v>125000</v>
      </c>
      <c r="Y12" s="2" t="str">
        <f t="shared" si="2"/>
        <v>150000</v>
      </c>
      <c r="Z12" s="2" t="str">
        <f t="shared" si="3"/>
        <v>0.8570770934</v>
      </c>
      <c r="AA12" s="2" t="str">
        <f t="shared" si="4"/>
        <v>0.1429229066</v>
      </c>
      <c r="AB12" s="2" t="str">
        <f>'расчет'!P31</f>
        <v>11.24863784</v>
      </c>
      <c r="AC12" s="2" t="str">
        <f t="shared" ref="AC12:AD12" si="20">AC11</f>
        <v>2</v>
      </c>
      <c r="AD12" s="2" t="str">
        <f t="shared" si="20"/>
        <v>25</v>
      </c>
      <c r="AE12" s="2" t="str">
        <f t="shared" si="6"/>
        <v>11</v>
      </c>
      <c r="AF12" s="2" t="str">
        <f t="shared" si="7"/>
        <v>11.5</v>
      </c>
      <c r="AG12" s="2" t="str">
        <f t="shared" si="8"/>
        <v>0.5027243149</v>
      </c>
      <c r="AH12" s="2" t="str">
        <f t="shared" si="9"/>
        <v>0.4972756851</v>
      </c>
      <c r="AI12" s="2" t="str">
        <f>VLOOKUP(AE12,B4:U50,(X12/25000),FALSE)</f>
        <v>1.2287</v>
      </c>
      <c r="AJ12" s="2" t="str">
        <f>VLOOKUP(AF12,B4:U50,(X12/25000),FALSE)</f>
        <v>1.2931</v>
      </c>
      <c r="AK12" s="2" t="str">
        <f>VLOOKUP(AE12,B4:U50,(Y12/25000),FALSE)</f>
        <v>1.321940737</v>
      </c>
      <c r="AL12" s="2" t="str">
        <f>VLOOKUP(AF12,B4:U50,(Y12/25000),FALSE)</f>
        <v>1.368748884</v>
      </c>
      <c r="AM12" s="2" t="str">
        <f t="shared" si="10"/>
        <v>1.260724554</v>
      </c>
      <c r="AN12" s="2" t="str">
        <f t="shared" si="11"/>
        <v>1.34521729</v>
      </c>
      <c r="AO12" s="2" t="str">
        <f t="shared" si="12"/>
        <v>1.272800502</v>
      </c>
    </row>
    <row r="13" ht="12.75" customHeight="1">
      <c r="B13" s="4">
        <v>6.5</v>
      </c>
      <c r="C13" s="4">
        <v>0.5975</v>
      </c>
      <c r="D13" s="5">
        <v>0.6383</v>
      </c>
      <c r="E13" s="5">
        <v>0.6692</v>
      </c>
      <c r="F13" s="5">
        <v>0.7416</v>
      </c>
      <c r="G13" s="5">
        <v>0.88785</v>
      </c>
      <c r="H13" s="5">
        <v>1.0341</v>
      </c>
      <c r="I13" s="5">
        <v>1.08187125</v>
      </c>
      <c r="J13" s="5">
        <v>1.105756875</v>
      </c>
      <c r="K13" s="5">
        <v>1.1296425</v>
      </c>
      <c r="L13" s="5">
        <v>1.22307875</v>
      </c>
      <c r="M13" s="5">
        <v>1.316515</v>
      </c>
      <c r="N13" s="5">
        <v>1.40995125</v>
      </c>
      <c r="O13" s="5">
        <v>1.5033875</v>
      </c>
      <c r="P13" s="5">
        <v>1.506584375</v>
      </c>
      <c r="Q13" s="5">
        <v>1.50978125</v>
      </c>
      <c r="R13" s="5">
        <v>1.649940625</v>
      </c>
      <c r="S13" s="5">
        <v>1.7901</v>
      </c>
      <c r="T13" s="5">
        <v>1.7742375</v>
      </c>
      <c r="U13" s="5">
        <v>1.758375</v>
      </c>
      <c r="W13" s="2" t="str">
        <f>IF('расчет'!R32&lt;50000,50000,'расчет'!R32)</f>
        <v>121825.3118</v>
      </c>
      <c r="X13" s="2" t="str">
        <f t="shared" si="1"/>
        <v>100000</v>
      </c>
      <c r="Y13" s="2" t="str">
        <f t="shared" si="2"/>
        <v>125000</v>
      </c>
      <c r="Z13" s="2" t="str">
        <f t="shared" si="3"/>
        <v>0.1269875283</v>
      </c>
      <c r="AA13" s="2" t="str">
        <f t="shared" si="4"/>
        <v>0.8730124717</v>
      </c>
      <c r="AB13" s="2" t="str">
        <f>'расчет'!P32</f>
        <v>11.66229685</v>
      </c>
      <c r="AC13" s="2" t="str">
        <f t="shared" ref="AC13:AD13" si="21">AC12</f>
        <v>2</v>
      </c>
      <c r="AD13" s="2" t="str">
        <f t="shared" si="21"/>
        <v>25</v>
      </c>
      <c r="AE13" s="2" t="str">
        <f t="shared" si="6"/>
        <v>11.5</v>
      </c>
      <c r="AF13" s="2" t="str">
        <f t="shared" si="7"/>
        <v>12</v>
      </c>
      <c r="AG13" s="2" t="str">
        <f t="shared" si="8"/>
        <v>0.6754062992</v>
      </c>
      <c r="AH13" s="2" t="str">
        <f t="shared" si="9"/>
        <v>0.3245937008</v>
      </c>
      <c r="AI13" s="2" t="str">
        <f>VLOOKUP(AE13,B4:U50,(X13/25000),FALSE)</f>
        <v>1.2143</v>
      </c>
      <c r="AJ13" s="2" t="str">
        <f>VLOOKUP(AF13,B4:U50,(X13/25000),FALSE)</f>
        <v>1.253375</v>
      </c>
      <c r="AK13" s="2" t="str">
        <f>VLOOKUP(AE13,B4:U50,(Y13/25000),FALSE)</f>
        <v>1.2931</v>
      </c>
      <c r="AL13" s="2" t="str">
        <f>VLOOKUP(AF13,B4:U50,(Y13/25000),FALSE)</f>
        <v>1.3474</v>
      </c>
      <c r="AM13" s="2" t="str">
        <f t="shared" si="10"/>
        <v>1.226983499</v>
      </c>
      <c r="AN13" s="2" t="str">
        <f t="shared" si="11"/>
        <v>1.310725438</v>
      </c>
      <c r="AO13" s="2" t="str">
        <f t="shared" si="12"/>
        <v>1.300091256</v>
      </c>
    </row>
    <row r="14" ht="12.75" customHeight="1">
      <c r="B14" s="4">
        <v>7.0</v>
      </c>
      <c r="C14" s="4">
        <v>0.6386</v>
      </c>
      <c r="D14" s="5">
        <v>0.7468</v>
      </c>
      <c r="E14" s="5">
        <v>0.7808</v>
      </c>
      <c r="F14" s="5">
        <v>0.799775</v>
      </c>
      <c r="G14" s="5">
        <v>0.9497875</v>
      </c>
      <c r="H14" s="5">
        <v>1.0998</v>
      </c>
      <c r="I14" s="5">
        <v>1.1504875</v>
      </c>
      <c r="J14" s="5">
        <v>1.17583125</v>
      </c>
      <c r="K14" s="5">
        <v>1.201175</v>
      </c>
      <c r="L14" s="5">
        <v>1.29716875</v>
      </c>
      <c r="M14" s="5">
        <v>1.3931625</v>
      </c>
      <c r="N14" s="5">
        <v>1.48915625</v>
      </c>
      <c r="O14" s="5">
        <v>1.58515</v>
      </c>
      <c r="P14" s="5">
        <v>1.5874375</v>
      </c>
      <c r="Q14" s="5">
        <v>1.589725</v>
      </c>
      <c r="R14" s="5">
        <v>1.7024725</v>
      </c>
      <c r="S14" s="5">
        <v>1.81522</v>
      </c>
      <c r="T14" s="5">
        <v>1.81032875</v>
      </c>
      <c r="U14" s="5">
        <v>1.8054375</v>
      </c>
      <c r="W14" s="2" t="str">
        <f>IF('расчет'!R33&lt;50000,50000,'расчет'!R33)</f>
        <v>114215.2829</v>
      </c>
      <c r="X14" s="2" t="str">
        <f t="shared" si="1"/>
        <v>100000</v>
      </c>
      <c r="Y14" s="2" t="str">
        <f t="shared" si="2"/>
        <v>125000</v>
      </c>
      <c r="Z14" s="2" t="str">
        <f t="shared" si="3"/>
        <v>0.4313886844</v>
      </c>
      <c r="AA14" s="2" t="str">
        <f t="shared" si="4"/>
        <v>0.5686113156</v>
      </c>
      <c r="AB14" s="2" t="str">
        <f>'расчет'!P33</f>
        <v>12.20946957</v>
      </c>
      <c r="AC14" s="2" t="str">
        <f t="shared" ref="AC14:AD14" si="22">AC13</f>
        <v>2</v>
      </c>
      <c r="AD14" s="2" t="str">
        <f t="shared" si="22"/>
        <v>25</v>
      </c>
      <c r="AE14" s="2" t="str">
        <f t="shared" si="6"/>
        <v>12</v>
      </c>
      <c r="AF14" s="2" t="str">
        <f t="shared" si="7"/>
        <v>12.5</v>
      </c>
      <c r="AG14" s="2" t="str">
        <f t="shared" si="8"/>
        <v>0.5810608514</v>
      </c>
      <c r="AH14" s="2" t="str">
        <f t="shared" si="9"/>
        <v>0.4189391486</v>
      </c>
      <c r="AI14" s="2" t="str">
        <f>VLOOKUP(AE14,B4:U50,(X14/25000),FALSE)</f>
        <v>1.253375</v>
      </c>
      <c r="AJ14" s="2" t="str">
        <f>VLOOKUP(AF14,B4:U50,(X14/25000),FALSE)</f>
        <v>1.29245</v>
      </c>
      <c r="AK14" s="2" t="str">
        <f>VLOOKUP(AE14,B4:U50,(Y14/25000),FALSE)</f>
        <v>1.3474</v>
      </c>
      <c r="AL14" s="2" t="str">
        <f>VLOOKUP(AF14,B4:U50,(Y14/25000),FALSE)</f>
        <v>1.390846875</v>
      </c>
      <c r="AM14" s="2" t="str">
        <f t="shared" si="10"/>
        <v>1.269745047</v>
      </c>
      <c r="AN14" s="2" t="str">
        <f t="shared" si="11"/>
        <v>1.365601597</v>
      </c>
      <c r="AO14" s="2" t="str">
        <f t="shared" si="12"/>
        <v>1.324250166</v>
      </c>
    </row>
    <row r="15" ht="12.75" customHeight="1">
      <c r="B15" s="4">
        <v>7.5</v>
      </c>
      <c r="C15" s="4">
        <v>0.705</v>
      </c>
      <c r="D15" s="5">
        <v>0.7577</v>
      </c>
      <c r="E15" s="5">
        <v>0.7964</v>
      </c>
      <c r="F15" s="5">
        <v>0.85795</v>
      </c>
      <c r="G15" s="5">
        <v>1.011725</v>
      </c>
      <c r="H15" s="5">
        <v>1.1655</v>
      </c>
      <c r="I15" s="5">
        <v>1.21910375</v>
      </c>
      <c r="J15" s="5">
        <v>1.245905625</v>
      </c>
      <c r="K15" s="5">
        <v>1.2727075</v>
      </c>
      <c r="L15" s="5">
        <v>1.37125875</v>
      </c>
      <c r="M15" s="5">
        <v>1.46981</v>
      </c>
      <c r="N15" s="5">
        <v>1.56836125</v>
      </c>
      <c r="O15" s="5">
        <v>1.6669125</v>
      </c>
      <c r="P15" s="5">
        <v>1.668290625</v>
      </c>
      <c r="Q15" s="5">
        <v>1.66966875</v>
      </c>
      <c r="R15" s="5">
        <v>1.755004375</v>
      </c>
      <c r="S15" s="5">
        <v>1.84034</v>
      </c>
      <c r="T15" s="5">
        <v>1.84642</v>
      </c>
      <c r="U15" s="5">
        <v>1.8525</v>
      </c>
      <c r="W15" s="2" t="str">
        <f>IF('расчет'!R34&lt;50000,50000,'расчет'!R34)</f>
        <v>105683.6102</v>
      </c>
      <c r="X15" s="2" t="str">
        <f t="shared" si="1"/>
        <v>100000</v>
      </c>
      <c r="Y15" s="2" t="str">
        <f t="shared" si="2"/>
        <v>125000</v>
      </c>
      <c r="Z15" s="2" t="str">
        <f t="shared" si="3"/>
        <v>0.7726555915</v>
      </c>
      <c r="AA15" s="2" t="str">
        <f t="shared" si="4"/>
        <v>0.2273444085</v>
      </c>
      <c r="AB15" s="2" t="str">
        <f>'расчет'!P34</f>
        <v>12.98450331</v>
      </c>
      <c r="AC15" s="2" t="str">
        <f t="shared" ref="AC15:AD15" si="23">AC14</f>
        <v>2</v>
      </c>
      <c r="AD15" s="2" t="str">
        <f t="shared" si="23"/>
        <v>25</v>
      </c>
      <c r="AE15" s="2" t="str">
        <f t="shared" si="6"/>
        <v>12.5</v>
      </c>
      <c r="AF15" s="2" t="str">
        <f t="shared" si="7"/>
        <v>13</v>
      </c>
      <c r="AG15" s="2" t="str">
        <f t="shared" si="8"/>
        <v>0.03099337527</v>
      </c>
      <c r="AH15" s="2" t="str">
        <f t="shared" si="9"/>
        <v>0.9690066247</v>
      </c>
      <c r="AI15" s="2" t="str">
        <f>VLOOKUP(AE15,B4:U50,(X15/25000),FALSE)</f>
        <v>1.29245</v>
      </c>
      <c r="AJ15" s="2" t="str">
        <f>VLOOKUP(AF15,B4:U50,(X15/25000),FALSE)</f>
        <v>1.331525</v>
      </c>
      <c r="AK15" s="2" t="str">
        <f>VLOOKUP(AE15,B4:U50,(Y15/25000),FALSE)</f>
        <v>1.390846875</v>
      </c>
      <c r="AL15" s="2" t="str">
        <f>VLOOKUP(AF15,B4:U50,(Y15/25000),FALSE)</f>
        <v>1.43429375</v>
      </c>
      <c r="AM15" s="2" t="str">
        <f t="shared" si="10"/>
        <v>1.330313934</v>
      </c>
      <c r="AN15" s="2" t="str">
        <f t="shared" si="11"/>
        <v>1.432947185</v>
      </c>
      <c r="AO15" s="2" t="str">
        <f t="shared" si="12"/>
        <v>1.35364703</v>
      </c>
    </row>
    <row r="16" ht="12.75" customHeight="1">
      <c r="B16" s="4">
        <v>8.0</v>
      </c>
      <c r="C16" s="4">
        <v>0.8035</v>
      </c>
      <c r="D16" s="5">
        <v>0.8449</v>
      </c>
      <c r="E16" s="5">
        <v>0.881</v>
      </c>
      <c r="F16" s="5">
        <v>0.916125</v>
      </c>
      <c r="G16" s="5">
        <v>1.0498125</v>
      </c>
      <c r="H16" s="5">
        <v>1.208810635</v>
      </c>
      <c r="I16" s="5">
        <v>1.276525317</v>
      </c>
      <c r="J16" s="5">
        <v>1.310382659</v>
      </c>
      <c r="K16" s="5">
        <v>1.34424</v>
      </c>
      <c r="L16" s="5">
        <v>1.44534875</v>
      </c>
      <c r="M16" s="5">
        <v>1.5464575</v>
      </c>
      <c r="N16" s="5">
        <v>1.64756625</v>
      </c>
      <c r="O16" s="5">
        <v>1.748675</v>
      </c>
      <c r="P16" s="5">
        <v>1.74914375</v>
      </c>
      <c r="Q16" s="5">
        <v>1.7496125</v>
      </c>
      <c r="R16" s="5">
        <v>1.80753625</v>
      </c>
      <c r="S16" s="5">
        <v>1.86546</v>
      </c>
      <c r="T16" s="5">
        <v>1.88108</v>
      </c>
      <c r="U16" s="5">
        <v>1.8967</v>
      </c>
      <c r="W16" s="2" t="str">
        <f>IF('расчет'!R35&lt;50000,50000,'расчет'!R35)</f>
        <v>96182.02339</v>
      </c>
      <c r="X16" s="2" t="str">
        <f t="shared" si="1"/>
        <v>75000</v>
      </c>
      <c r="Y16" s="2" t="str">
        <f t="shared" si="2"/>
        <v>100000</v>
      </c>
      <c r="Z16" s="2" t="str">
        <f t="shared" si="3"/>
        <v>0.1527190645</v>
      </c>
      <c r="AA16" s="2" t="str">
        <f t="shared" si="4"/>
        <v>0.8472809355</v>
      </c>
      <c r="AB16" s="2" t="str">
        <f>'расчет'!P35</f>
        <v>14.12833628</v>
      </c>
      <c r="AC16" s="2" t="str">
        <f t="shared" ref="AC16:AD16" si="24">AC15</f>
        <v>2</v>
      </c>
      <c r="AD16" s="2" t="str">
        <f t="shared" si="24"/>
        <v>25</v>
      </c>
      <c r="AE16" s="2" t="str">
        <f t="shared" si="6"/>
        <v>14</v>
      </c>
      <c r="AF16" s="2" t="str">
        <f t="shared" si="7"/>
        <v>14.5</v>
      </c>
      <c r="AG16" s="2" t="str">
        <f t="shared" si="8"/>
        <v>0.7433274325</v>
      </c>
      <c r="AH16" s="2" t="str">
        <f t="shared" si="9"/>
        <v>0.2566725675</v>
      </c>
      <c r="AI16" s="2" t="str">
        <f>VLOOKUP(AE16,B4:U50,(X16/25000),FALSE)</f>
        <v>1.32459375</v>
      </c>
      <c r="AJ16" s="2" t="str">
        <f>VLOOKUP(AF16,B4:U50,(X16/25000),FALSE)</f>
        <v>1.3624125</v>
      </c>
      <c r="AK16" s="2" t="str">
        <f>VLOOKUP(AE16,B4:U50,(Y16/25000),FALSE)</f>
        <v>1.409675</v>
      </c>
      <c r="AL16" s="2" t="str">
        <f>VLOOKUP(AF16,B4:U50,(Y16/25000),FALSE)</f>
        <v>1.44875</v>
      </c>
      <c r="AM16" s="2" t="str">
        <f t="shared" si="10"/>
        <v>1.334300786</v>
      </c>
      <c r="AN16" s="2" t="str">
        <f t="shared" si="11"/>
        <v>1.419704481</v>
      </c>
      <c r="AO16" s="2" t="str">
        <f t="shared" si="12"/>
        <v>1.406661708</v>
      </c>
    </row>
    <row r="17" ht="12.75" customHeight="1">
      <c r="B17" s="4">
        <v>8.5</v>
      </c>
      <c r="C17" s="4">
        <v>0.8316</v>
      </c>
      <c r="D17" s="5">
        <v>0.9237</v>
      </c>
      <c r="E17" s="5">
        <v>0.9793</v>
      </c>
      <c r="F17" s="5">
        <v>0.9743</v>
      </c>
      <c r="G17" s="5">
        <v>1.0879</v>
      </c>
      <c r="H17" s="5">
        <v>1.252121269</v>
      </c>
      <c r="I17" s="5">
        <v>1.333946885</v>
      </c>
      <c r="J17" s="5">
        <v>1.374859692</v>
      </c>
      <c r="K17" s="5">
        <v>1.4157725</v>
      </c>
      <c r="L17" s="5">
        <v>1.51943875</v>
      </c>
      <c r="M17" s="5">
        <v>1.623105</v>
      </c>
      <c r="N17" s="5">
        <v>1.72677125</v>
      </c>
      <c r="O17" s="5">
        <v>1.8304375</v>
      </c>
      <c r="P17" s="5">
        <v>1.829996875</v>
      </c>
      <c r="Q17" s="5">
        <v>1.82955625</v>
      </c>
      <c r="R17" s="5">
        <v>1.860068125</v>
      </c>
      <c r="S17" s="5">
        <v>1.89058</v>
      </c>
      <c r="T17" s="5">
        <v>1.89614</v>
      </c>
      <c r="U17" s="5">
        <v>1.9017</v>
      </c>
      <c r="W17" s="2" t="str">
        <f>IF('расчет'!R36&lt;50000,50000,'расчет'!R36)</f>
        <v>85674.39578</v>
      </c>
      <c r="X17" s="2" t="str">
        <f t="shared" si="1"/>
        <v>75000</v>
      </c>
      <c r="Y17" s="2" t="str">
        <f t="shared" si="2"/>
        <v>100000</v>
      </c>
      <c r="Z17" s="2" t="str">
        <f t="shared" si="3"/>
        <v>0.5730241689</v>
      </c>
      <c r="AA17" s="2" t="str">
        <f t="shared" si="4"/>
        <v>0.4269758311</v>
      </c>
      <c r="AB17" s="2" t="str">
        <f>'расчет'!P36</f>
        <v>15.85841006</v>
      </c>
      <c r="AC17" s="2" t="str">
        <f t="shared" ref="AC17:AD17" si="25">AC16</f>
        <v>2</v>
      </c>
      <c r="AD17" s="2" t="str">
        <f t="shared" si="25"/>
        <v>25</v>
      </c>
      <c r="AE17" s="2" t="str">
        <f t="shared" si="6"/>
        <v>15.5</v>
      </c>
      <c r="AF17" s="2" t="str">
        <f t="shared" si="7"/>
        <v>16</v>
      </c>
      <c r="AG17" s="2" t="str">
        <f t="shared" si="8"/>
        <v>0.2831798876</v>
      </c>
      <c r="AH17" s="2" t="str">
        <f t="shared" si="9"/>
        <v>0.7168201124</v>
      </c>
      <c r="AI17" s="2" t="str">
        <f>VLOOKUP(AE17,B4:U50,(X17/25000),FALSE)</f>
        <v>1.43805</v>
      </c>
      <c r="AJ17" s="2" t="str">
        <f>VLOOKUP(AF17,B4:U50,(X17/25000),FALSE)</f>
        <v>1.481875</v>
      </c>
      <c r="AK17" s="2" t="str">
        <f>VLOOKUP(AE17,B4:U50,(Y17/25000),FALSE)</f>
        <v>1.5269</v>
      </c>
      <c r="AL17" s="2" t="str">
        <f>VLOOKUP(AF17,B4:U50,(Y17/25000),FALSE)</f>
        <v>1.57925</v>
      </c>
      <c r="AM17" s="2" t="str">
        <f t="shared" si="10"/>
        <v>1.469464641</v>
      </c>
      <c r="AN17" s="2" t="str">
        <f t="shared" si="11"/>
        <v>1.564425533</v>
      </c>
      <c r="AO17" s="2" t="str">
        <f t="shared" si="12"/>
        <v>1.510010647</v>
      </c>
    </row>
    <row r="18" ht="12.75" customHeight="1">
      <c r="B18" s="4">
        <v>9.0</v>
      </c>
      <c r="C18" s="4">
        <v>0.8854</v>
      </c>
      <c r="D18" s="5">
        <v>0.9457</v>
      </c>
      <c r="E18" s="5">
        <v>0.98415</v>
      </c>
      <c r="F18" s="5">
        <v>1.0226</v>
      </c>
      <c r="G18" s="5">
        <v>1.134708147</v>
      </c>
      <c r="H18" s="5">
        <v>1.295431904</v>
      </c>
      <c r="I18" s="5">
        <v>1.391368452</v>
      </c>
      <c r="J18" s="5">
        <v>1.439336726</v>
      </c>
      <c r="K18" s="5">
        <v>1.487305</v>
      </c>
      <c r="L18" s="5">
        <v>1.59352875</v>
      </c>
      <c r="M18" s="5">
        <v>1.6997525</v>
      </c>
      <c r="N18" s="5">
        <v>1.80597625</v>
      </c>
      <c r="O18" s="5">
        <v>1.9122</v>
      </c>
      <c r="P18" s="5">
        <v>1.91085</v>
      </c>
      <c r="Q18" s="5">
        <v>1.9095</v>
      </c>
      <c r="R18" s="5">
        <v>1.9126</v>
      </c>
      <c r="S18" s="5">
        <v>1.9157</v>
      </c>
      <c r="T18" s="5">
        <v>1.9188</v>
      </c>
      <c r="U18" s="5">
        <v>1.9219</v>
      </c>
      <c r="W18" s="2" t="str">
        <f>IF('расчет'!R37&lt;50000,50000,'расчет'!R37)</f>
        <v>74137.3012</v>
      </c>
      <c r="X18" s="2" t="str">
        <f t="shared" si="1"/>
        <v>50000</v>
      </c>
      <c r="Y18" s="2" t="str">
        <f t="shared" si="2"/>
        <v>75000</v>
      </c>
      <c r="Z18" s="2" t="str">
        <f t="shared" si="3"/>
        <v>0.03450795217</v>
      </c>
      <c r="AA18" s="2" t="str">
        <f t="shared" si="4"/>
        <v>0.9654920478</v>
      </c>
      <c r="AB18" s="2" t="str">
        <f>'расчет'!P37</f>
        <v>18.5217332</v>
      </c>
      <c r="AC18" s="2" t="str">
        <f t="shared" ref="AC18:AD18" si="26">AC17</f>
        <v>2</v>
      </c>
      <c r="AD18" s="2" t="str">
        <f t="shared" si="26"/>
        <v>25</v>
      </c>
      <c r="AE18" s="2" t="str">
        <f t="shared" si="6"/>
        <v>18.5</v>
      </c>
      <c r="AF18" s="2" t="str">
        <f t="shared" si="7"/>
        <v>19</v>
      </c>
      <c r="AG18" s="2" t="str">
        <f t="shared" si="8"/>
        <v>0.9565335919</v>
      </c>
      <c r="AH18" s="2" t="str">
        <f t="shared" si="9"/>
        <v>0.0434664081</v>
      </c>
      <c r="AI18" s="2" t="str">
        <f>VLOOKUP(AE18,B4:U50,(X18/25000),FALSE)</f>
        <v>1.5975</v>
      </c>
      <c r="AJ18" s="2" t="str">
        <f>VLOOKUP(AF18,B4:U50,(X18/25000),FALSE)</f>
        <v>1.7276</v>
      </c>
      <c r="AK18" s="2" t="str">
        <f>VLOOKUP(AE18,B4:U50,(Y18/25000),FALSE)</f>
        <v>1.7158</v>
      </c>
      <c r="AL18" s="2" t="str">
        <f>VLOOKUP(AF18,B4:U50,(Y18/25000),FALSE)</f>
        <v>1.7303</v>
      </c>
      <c r="AM18" s="2" t="str">
        <f t="shared" si="10"/>
        <v>1.60315498</v>
      </c>
      <c r="AN18" s="2" t="str">
        <f t="shared" si="11"/>
        <v>1.716430263</v>
      </c>
      <c r="AO18" s="2" t="str">
        <f t="shared" si="12"/>
        <v>1.712521365</v>
      </c>
    </row>
    <row r="19" ht="12.75" customHeight="1">
      <c r="B19" s="4">
        <v>9.5</v>
      </c>
      <c r="C19" s="4">
        <v>0.9273</v>
      </c>
      <c r="D19" s="5">
        <v>1.0052</v>
      </c>
      <c r="E19" s="5">
        <v>1.0548</v>
      </c>
      <c r="F19" s="5">
        <v>1.1044</v>
      </c>
      <c r="G19" s="5">
        <v>1.181516295</v>
      </c>
      <c r="H19" s="5">
        <v>1.338742538</v>
      </c>
      <c r="I19" s="5">
        <v>1.448790019</v>
      </c>
      <c r="J19" s="5">
        <v>1.50381376</v>
      </c>
      <c r="K19" s="5">
        <v>1.5588375</v>
      </c>
      <c r="L19" s="5">
        <v>1.643053125</v>
      </c>
      <c r="M19" s="5">
        <v>1.72726875</v>
      </c>
      <c r="N19" s="5">
        <v>1.811484375</v>
      </c>
      <c r="O19" s="5">
        <v>1.8957</v>
      </c>
      <c r="P19" s="5">
        <v>1.9251</v>
      </c>
      <c r="Q19" s="5">
        <v>1.9545</v>
      </c>
      <c r="R19" s="5">
        <v>1.9468</v>
      </c>
      <c r="S19" s="5">
        <v>1.9391</v>
      </c>
      <c r="T19" s="5">
        <v>1.9406</v>
      </c>
      <c r="U19" s="5">
        <v>1.9421</v>
      </c>
      <c r="W19" s="2" t="str">
        <f>IF('расчет'!R38&lt;50000,50000,'расчет'!R38)</f>
        <v>61560.12526</v>
      </c>
      <c r="X19" s="2" t="str">
        <f t="shared" si="1"/>
        <v>50000</v>
      </c>
      <c r="Y19" s="2" t="str">
        <f t="shared" si="2"/>
        <v>75000</v>
      </c>
      <c r="Z19" s="2" t="str">
        <f t="shared" si="3"/>
        <v>0.5375949897</v>
      </c>
      <c r="AA19" s="2" t="str">
        <f t="shared" si="4"/>
        <v>0.4624050103</v>
      </c>
      <c r="AB19" s="2" t="str">
        <f>'расчет'!P38</f>
        <v>22.68814529</v>
      </c>
      <c r="AC19" s="2" t="str">
        <f t="shared" ref="AC19:AD19" si="27">AC18</f>
        <v>2</v>
      </c>
      <c r="AD19" s="2" t="str">
        <f t="shared" si="27"/>
        <v>25</v>
      </c>
      <c r="AE19" s="2" t="str">
        <f t="shared" si="6"/>
        <v>22.5</v>
      </c>
      <c r="AF19" s="2" t="str">
        <f t="shared" si="7"/>
        <v>23</v>
      </c>
      <c r="AG19" s="2" t="str">
        <f t="shared" si="8"/>
        <v>0.6237094224</v>
      </c>
      <c r="AH19" s="2" t="str">
        <f t="shared" si="9"/>
        <v>0.3762905776</v>
      </c>
      <c r="AI19" s="2" t="str">
        <f>VLOOKUP(AE19,B4:U50,(X19/25000),FALSE)</f>
        <v>1.8925</v>
      </c>
      <c r="AJ19" s="2" t="str">
        <f>VLOOKUP(AF19,B4:U50,(X19/25000),FALSE)</f>
        <v>1.8589</v>
      </c>
      <c r="AK19" s="2" t="str">
        <f>VLOOKUP(AE19,B4:U50,(Y19/25000),FALSE)</f>
        <v>1.9257</v>
      </c>
      <c r="AL19" s="2" t="str">
        <f>VLOOKUP(AF19,B4:U50,(Y19/25000),FALSE)</f>
        <v>1.8409</v>
      </c>
      <c r="AM19" s="2" t="str">
        <f t="shared" si="10"/>
        <v>1.879856637</v>
      </c>
      <c r="AN19" s="2" t="str">
        <f t="shared" si="11"/>
        <v>1.893790559</v>
      </c>
      <c r="AO19" s="2" t="str">
        <f t="shared" si="12"/>
        <v>1.886299752</v>
      </c>
    </row>
    <row r="20" ht="12.75" customHeight="1">
      <c r="B20" s="4">
        <v>10.0</v>
      </c>
      <c r="C20" s="4">
        <v>0.9692</v>
      </c>
      <c r="D20" s="5">
        <v>1.0327</v>
      </c>
      <c r="E20" s="5">
        <v>1.0698</v>
      </c>
      <c r="F20" s="5">
        <v>1.1069</v>
      </c>
      <c r="G20" s="5">
        <v>1.228324442</v>
      </c>
      <c r="H20" s="5">
        <v>1.382053173</v>
      </c>
      <c r="I20" s="5">
        <v>1.506211586</v>
      </c>
      <c r="J20" s="5">
        <v>1.568290793</v>
      </c>
      <c r="K20" s="5">
        <v>1.63037</v>
      </c>
      <c r="L20" s="5">
        <v>1.759335</v>
      </c>
      <c r="M20" s="5">
        <v>1.8883</v>
      </c>
      <c r="N20" s="5">
        <v>1.9157</v>
      </c>
      <c r="O20" s="5">
        <v>1.9431</v>
      </c>
      <c r="P20" s="5">
        <v>1.9464</v>
      </c>
      <c r="Q20" s="5">
        <v>1.9497</v>
      </c>
      <c r="R20" s="5">
        <v>1.95205</v>
      </c>
      <c r="S20" s="5">
        <v>1.9544</v>
      </c>
      <c r="T20" s="5">
        <v>1.9523</v>
      </c>
      <c r="U20" s="5">
        <v>1.9502</v>
      </c>
    </row>
    <row r="21" ht="12.75" customHeight="1">
      <c r="B21" s="4">
        <v>10.5</v>
      </c>
      <c r="C21" s="4">
        <v>1.0111</v>
      </c>
      <c r="D21" s="5">
        <v>1.0689</v>
      </c>
      <c r="E21" s="5">
        <v>1.11725</v>
      </c>
      <c r="F21" s="5">
        <v>1.1656</v>
      </c>
      <c r="G21" s="5">
        <v>1.275132589</v>
      </c>
      <c r="H21" s="5">
        <v>1.425363807</v>
      </c>
      <c r="I21" s="5">
        <v>1.563633154</v>
      </c>
      <c r="J21" s="5">
        <v>1.632767827</v>
      </c>
      <c r="K21" s="5">
        <v>1.7019025</v>
      </c>
      <c r="L21" s="5">
        <v>1.78805125</v>
      </c>
      <c r="M21" s="5">
        <v>1.8742</v>
      </c>
      <c r="N21" s="5">
        <v>1.91655</v>
      </c>
      <c r="O21" s="5">
        <v>1.9589</v>
      </c>
      <c r="P21" s="5">
        <v>1.9589</v>
      </c>
      <c r="Q21" s="5">
        <v>1.9589</v>
      </c>
      <c r="R21" s="5">
        <v>1.95935</v>
      </c>
      <c r="S21" s="5">
        <v>1.9598</v>
      </c>
      <c r="T21" s="5">
        <v>1.95335</v>
      </c>
      <c r="U21" s="5">
        <v>1.9469</v>
      </c>
    </row>
    <row r="22" ht="12.75" customHeight="1">
      <c r="B22" s="4">
        <v>11.0</v>
      </c>
      <c r="C22" s="4">
        <v>1.0817</v>
      </c>
      <c r="D22" s="5">
        <v>1.1294</v>
      </c>
      <c r="E22" s="5">
        <v>1.17905</v>
      </c>
      <c r="F22" s="5">
        <v>1.2287</v>
      </c>
      <c r="G22" s="5">
        <v>1.321940737</v>
      </c>
      <c r="H22" s="5">
        <v>1.468674442</v>
      </c>
      <c r="I22" s="5">
        <v>1.621054721</v>
      </c>
      <c r="J22" s="5">
        <v>1.69724486</v>
      </c>
      <c r="K22" s="5">
        <v>1.773435</v>
      </c>
      <c r="L22" s="5">
        <v>1.8661675</v>
      </c>
      <c r="M22" s="5">
        <v>1.9589</v>
      </c>
      <c r="N22" s="5">
        <v>1.95995</v>
      </c>
      <c r="O22" s="5">
        <v>1.961</v>
      </c>
      <c r="P22" s="5">
        <v>1.9652</v>
      </c>
      <c r="Q22" s="5">
        <v>1.9694</v>
      </c>
      <c r="R22" s="5">
        <v>1.9631</v>
      </c>
      <c r="S22" s="5">
        <v>1.9568</v>
      </c>
      <c r="T22" s="5">
        <v>1.9434</v>
      </c>
      <c r="U22" s="5">
        <v>1.93</v>
      </c>
    </row>
    <row r="23" ht="12.75" customHeight="1">
      <c r="B23" s="4">
        <v>11.5</v>
      </c>
      <c r="C23" s="4">
        <v>1.0904</v>
      </c>
      <c r="D23" s="5">
        <v>1.1355</v>
      </c>
      <c r="E23" s="5">
        <v>1.2143</v>
      </c>
      <c r="F23" s="5">
        <v>1.2931</v>
      </c>
      <c r="G23" s="5">
        <v>1.368748884</v>
      </c>
      <c r="H23" s="5">
        <v>1.511985077</v>
      </c>
      <c r="I23" s="5">
        <v>1.678476288</v>
      </c>
      <c r="J23" s="5">
        <v>1.761721894</v>
      </c>
      <c r="K23" s="5">
        <v>1.8449675</v>
      </c>
      <c r="L23" s="5">
        <v>1.89333375</v>
      </c>
      <c r="M23" s="5">
        <v>1.9417</v>
      </c>
      <c r="N23" s="5">
        <v>1.95445</v>
      </c>
      <c r="O23" s="5">
        <v>1.9672</v>
      </c>
      <c r="P23" s="5">
        <v>1.9658</v>
      </c>
      <c r="Q23" s="5">
        <v>1.9644</v>
      </c>
      <c r="R23" s="5">
        <v>1.94955</v>
      </c>
      <c r="S23" s="5">
        <v>1.9347</v>
      </c>
      <c r="T23" s="5">
        <v>1.9128</v>
      </c>
      <c r="U23" s="5">
        <v>1.8909</v>
      </c>
    </row>
    <row r="24" ht="12.75" customHeight="1">
      <c r="B24" s="4">
        <v>12.0</v>
      </c>
      <c r="C24" s="4">
        <v>1.1402</v>
      </c>
      <c r="D24" s="5">
        <v>1.17331875</v>
      </c>
      <c r="E24" s="5">
        <v>1.253375</v>
      </c>
      <c r="F24" s="5">
        <v>1.3474</v>
      </c>
      <c r="G24" s="5">
        <v>1.415557031</v>
      </c>
      <c r="H24" s="5">
        <v>1.555295711</v>
      </c>
      <c r="I24" s="5">
        <v>1.735897856</v>
      </c>
      <c r="J24" s="5">
        <v>1.826198928</v>
      </c>
      <c r="K24" s="5">
        <v>1.9165</v>
      </c>
      <c r="L24" s="5">
        <v>1.93565</v>
      </c>
      <c r="M24" s="5">
        <v>1.9548</v>
      </c>
      <c r="N24" s="5">
        <v>1.96095</v>
      </c>
      <c r="O24" s="5">
        <v>1.9671</v>
      </c>
      <c r="P24" s="5">
        <v>1.95535</v>
      </c>
      <c r="Q24" s="5">
        <v>1.9436</v>
      </c>
      <c r="R24" s="5">
        <v>1.91955</v>
      </c>
      <c r="S24" s="5">
        <v>1.8955</v>
      </c>
      <c r="T24" s="5">
        <v>1.86355</v>
      </c>
      <c r="U24" s="5">
        <v>1.8316</v>
      </c>
    </row>
    <row r="25" ht="12.75" customHeight="1">
      <c r="B25" s="4">
        <v>12.5</v>
      </c>
      <c r="C25" s="4">
        <v>1.1913</v>
      </c>
      <c r="D25" s="5">
        <v>1.2111375</v>
      </c>
      <c r="E25" s="5">
        <v>1.29245</v>
      </c>
      <c r="F25" s="5">
        <v>1.390846875</v>
      </c>
      <c r="G25" s="5">
        <v>1.462365179</v>
      </c>
      <c r="H25" s="5">
        <v>1.598606346</v>
      </c>
      <c r="I25" s="5">
        <v>1.753453173</v>
      </c>
      <c r="J25" s="5">
        <v>1.830876586</v>
      </c>
      <c r="K25" s="5">
        <v>1.9083</v>
      </c>
      <c r="L25" s="5">
        <v>1.9358</v>
      </c>
      <c r="M25" s="5">
        <v>1.9633</v>
      </c>
      <c r="N25" s="5">
        <v>1.958</v>
      </c>
      <c r="O25" s="5">
        <v>1.9527</v>
      </c>
      <c r="P25" s="5">
        <v>1.9281</v>
      </c>
      <c r="Q25" s="5">
        <v>1.9035</v>
      </c>
      <c r="R25" s="5">
        <v>1.86815</v>
      </c>
      <c r="S25" s="5">
        <v>1.8328</v>
      </c>
      <c r="T25" s="5">
        <v>1.7963</v>
      </c>
      <c r="U25" s="5">
        <v>1.7598</v>
      </c>
    </row>
    <row r="26" ht="12.75" customHeight="1">
      <c r="B26" s="4">
        <v>13.0</v>
      </c>
      <c r="C26" s="4">
        <v>1.2056</v>
      </c>
      <c r="D26" s="5">
        <v>1.24895625</v>
      </c>
      <c r="E26" s="5">
        <v>1.331525</v>
      </c>
      <c r="F26" s="5">
        <v>1.43429375</v>
      </c>
      <c r="G26" s="5">
        <v>1.509173326</v>
      </c>
      <c r="H26" s="5">
        <v>1.64191698</v>
      </c>
      <c r="I26" s="5">
        <v>1.79230849</v>
      </c>
      <c r="J26" s="5">
        <v>1.867504245</v>
      </c>
      <c r="K26" s="5">
        <v>1.9427</v>
      </c>
      <c r="L26" s="5">
        <v>1.949</v>
      </c>
      <c r="M26" s="5">
        <v>1.9553</v>
      </c>
      <c r="N26" s="5">
        <v>1.9325</v>
      </c>
      <c r="O26" s="5">
        <v>1.9097</v>
      </c>
      <c r="P26" s="5">
        <v>1.87305</v>
      </c>
      <c r="Q26" s="5">
        <v>1.8364</v>
      </c>
      <c r="R26" s="5">
        <v>1.79885</v>
      </c>
      <c r="S26" s="5">
        <v>1.7613</v>
      </c>
      <c r="T26" s="5">
        <v>1.73985</v>
      </c>
      <c r="U26" s="5">
        <v>1.7184</v>
      </c>
    </row>
    <row r="27" ht="12.75" customHeight="1">
      <c r="B27" s="4">
        <v>13.5</v>
      </c>
      <c r="C27" s="4">
        <v>1.2632</v>
      </c>
      <c r="D27" s="5">
        <v>1.286775</v>
      </c>
      <c r="E27" s="5">
        <v>1.3706</v>
      </c>
      <c r="F27" s="5">
        <v>1.477740625</v>
      </c>
      <c r="G27" s="5">
        <v>1.555981473</v>
      </c>
      <c r="H27" s="5">
        <v>1.685227615</v>
      </c>
      <c r="I27" s="5">
        <v>1.7616</v>
      </c>
      <c r="J27" s="5">
        <v>1.8517</v>
      </c>
      <c r="K27" s="5">
        <v>1.9418</v>
      </c>
      <c r="L27" s="5">
        <v>1.927</v>
      </c>
      <c r="M27" s="5">
        <v>1.9122</v>
      </c>
      <c r="N27" s="5">
        <v>1.87435</v>
      </c>
      <c r="O27" s="5">
        <v>1.8365</v>
      </c>
      <c r="P27" s="5">
        <v>1.812175</v>
      </c>
      <c r="Q27" s="5">
        <v>1.78785</v>
      </c>
      <c r="R27" s="5">
        <v>1.758375</v>
      </c>
      <c r="S27" s="5">
        <v>1.7289</v>
      </c>
      <c r="T27" s="5">
        <v>1.72935</v>
      </c>
      <c r="U27" s="5">
        <v>1.7298</v>
      </c>
    </row>
    <row r="28" ht="12.75" customHeight="1">
      <c r="B28" s="4">
        <v>14.0</v>
      </c>
      <c r="C28" s="4">
        <v>1.2756</v>
      </c>
      <c r="D28" s="5">
        <v>1.32459375</v>
      </c>
      <c r="E28" s="5">
        <v>1.409675</v>
      </c>
      <c r="F28" s="5">
        <v>1.5211875</v>
      </c>
      <c r="G28" s="5">
        <v>1.602789621</v>
      </c>
      <c r="H28" s="5">
        <v>1.728538249</v>
      </c>
      <c r="I28" s="5">
        <v>1.8904</v>
      </c>
      <c r="J28" s="5">
        <v>1.90505</v>
      </c>
      <c r="K28" s="5">
        <v>1.9197</v>
      </c>
      <c r="L28" s="5">
        <v>1.88045</v>
      </c>
      <c r="M28" s="5">
        <v>1.8412</v>
      </c>
      <c r="N28" s="5">
        <v>1.8034</v>
      </c>
      <c r="O28" s="5">
        <v>1.7656</v>
      </c>
      <c r="P28" s="5">
        <v>1.75245</v>
      </c>
      <c r="Q28" s="5">
        <v>1.7393</v>
      </c>
      <c r="R28" s="5">
        <v>1.7405</v>
      </c>
      <c r="S28" s="5">
        <v>1.7417</v>
      </c>
      <c r="T28" s="5">
        <v>1.743</v>
      </c>
      <c r="U28" s="5">
        <v>1.7443</v>
      </c>
    </row>
    <row r="29" ht="12.75" customHeight="1">
      <c r="B29" s="4">
        <v>14.5</v>
      </c>
      <c r="C29" s="4">
        <v>1.3066</v>
      </c>
      <c r="D29" s="5">
        <v>1.3624125</v>
      </c>
      <c r="E29" s="5">
        <v>1.44875</v>
      </c>
      <c r="F29" s="5">
        <v>1.564634375</v>
      </c>
      <c r="G29" s="5">
        <v>1.649597768</v>
      </c>
      <c r="H29" s="5">
        <v>1.771848884</v>
      </c>
      <c r="I29" s="5">
        <v>1.8941</v>
      </c>
      <c r="J29" s="5">
        <v>1.873</v>
      </c>
      <c r="K29" s="5">
        <v>1.8519</v>
      </c>
      <c r="L29" s="5">
        <v>1.8122</v>
      </c>
      <c r="M29" s="5">
        <v>1.7725</v>
      </c>
      <c r="N29" s="5">
        <v>1.75995</v>
      </c>
      <c r="O29" s="5">
        <v>1.7474</v>
      </c>
      <c r="P29" s="5">
        <v>1.74845</v>
      </c>
      <c r="Q29" s="5">
        <v>1.7495</v>
      </c>
      <c r="R29" s="5">
        <v>1.75145</v>
      </c>
      <c r="S29" s="5">
        <v>1.7534</v>
      </c>
      <c r="T29" s="5">
        <v>1.7547</v>
      </c>
      <c r="U29" s="5">
        <v>1.756</v>
      </c>
    </row>
    <row r="30" ht="12.75" customHeight="1">
      <c r="B30" s="4">
        <v>15.0</v>
      </c>
      <c r="C30" s="4">
        <v>1.3573</v>
      </c>
      <c r="D30" s="5">
        <v>1.40023125</v>
      </c>
      <c r="E30" s="5">
        <v>1.487825</v>
      </c>
      <c r="F30" s="5">
        <v>1.60808125</v>
      </c>
      <c r="G30" s="5">
        <v>1.696405915</v>
      </c>
      <c r="H30" s="5">
        <v>1.846</v>
      </c>
      <c r="I30" s="5">
        <v>1.8613</v>
      </c>
      <c r="J30" s="5">
        <v>1.82205</v>
      </c>
      <c r="K30" s="5">
        <v>1.7828</v>
      </c>
      <c r="L30" s="5">
        <v>1.7696</v>
      </c>
      <c r="M30" s="5">
        <v>1.7564</v>
      </c>
      <c r="N30" s="5">
        <v>1.75635</v>
      </c>
      <c r="O30" s="5">
        <v>1.7563</v>
      </c>
      <c r="P30" s="5">
        <v>1.7596</v>
      </c>
      <c r="Q30" s="5">
        <v>1.7629</v>
      </c>
      <c r="R30" s="5">
        <v>1.7644</v>
      </c>
      <c r="S30" s="5">
        <v>1.7659</v>
      </c>
      <c r="T30" s="5">
        <v>1.766</v>
      </c>
      <c r="U30" s="5">
        <v>1.7661</v>
      </c>
    </row>
    <row r="31" ht="12.75" customHeight="1">
      <c r="B31" s="4">
        <v>15.5</v>
      </c>
      <c r="C31" s="4">
        <v>1.3492</v>
      </c>
      <c r="D31" s="5">
        <v>1.43805</v>
      </c>
      <c r="E31" s="5">
        <v>1.5269</v>
      </c>
      <c r="F31" s="5">
        <v>1.651528125</v>
      </c>
      <c r="G31" s="5">
        <v>1.743214063</v>
      </c>
      <c r="H31" s="5">
        <v>1.8349</v>
      </c>
      <c r="I31" s="5">
        <v>1.7925</v>
      </c>
      <c r="J31" s="5">
        <v>1.7768</v>
      </c>
      <c r="K31" s="5">
        <v>1.7611</v>
      </c>
      <c r="L31" s="5">
        <v>1.7601</v>
      </c>
      <c r="M31" s="5">
        <v>1.7591</v>
      </c>
      <c r="N31" s="5">
        <v>1.76215</v>
      </c>
      <c r="O31" s="5">
        <v>1.7652</v>
      </c>
      <c r="P31" s="5">
        <v>1.76735</v>
      </c>
      <c r="Q31" s="5">
        <v>1.7695</v>
      </c>
      <c r="R31" s="5">
        <v>1.77105</v>
      </c>
      <c r="S31" s="5">
        <v>1.7726</v>
      </c>
      <c r="T31" s="5">
        <v>1.7744</v>
      </c>
      <c r="U31" s="5">
        <v>1.7762</v>
      </c>
    </row>
    <row r="32" ht="12.75" customHeight="1">
      <c r="B32" s="4">
        <v>16.0</v>
      </c>
      <c r="C32" s="4">
        <v>1.3845</v>
      </c>
      <c r="D32" s="5">
        <v>1.481875</v>
      </c>
      <c r="E32" s="5">
        <v>1.57925</v>
      </c>
      <c r="F32" s="5">
        <v>1.694975</v>
      </c>
      <c r="G32" s="5">
        <v>1.8107</v>
      </c>
      <c r="H32" s="5">
        <v>1.7755</v>
      </c>
      <c r="I32" s="5">
        <v>1.7664</v>
      </c>
      <c r="J32" s="5">
        <v>1.7649</v>
      </c>
      <c r="K32" s="5">
        <v>1.7634</v>
      </c>
      <c r="L32" s="5">
        <v>1.7644</v>
      </c>
      <c r="M32" s="5">
        <v>1.7654</v>
      </c>
      <c r="N32" s="5">
        <v>1.76925</v>
      </c>
      <c r="O32" s="5">
        <v>1.7731</v>
      </c>
      <c r="P32" s="5">
        <v>1.7748</v>
      </c>
      <c r="Q32" s="5">
        <v>1.7765</v>
      </c>
      <c r="R32" s="5">
        <v>1.7775</v>
      </c>
      <c r="S32" s="5">
        <v>1.7785</v>
      </c>
      <c r="T32" s="5">
        <v>1.78335</v>
      </c>
      <c r="U32" s="5">
        <v>1.7882</v>
      </c>
    </row>
    <row r="33" ht="12.75" customHeight="1">
      <c r="B33" s="4">
        <v>16.5</v>
      </c>
      <c r="C33" s="4">
        <v>1.3923</v>
      </c>
      <c r="D33" s="5">
        <v>1.51195</v>
      </c>
      <c r="E33" s="5">
        <v>1.6316</v>
      </c>
      <c r="F33" s="5">
        <v>1.7941</v>
      </c>
      <c r="G33" s="5">
        <v>1.7658</v>
      </c>
      <c r="H33" s="5">
        <v>1.7637</v>
      </c>
      <c r="I33" s="5">
        <v>1.7643</v>
      </c>
      <c r="J33" s="5">
        <v>1.7625</v>
      </c>
      <c r="K33" s="5">
        <v>1.7607</v>
      </c>
      <c r="L33" s="5">
        <v>1.76575</v>
      </c>
      <c r="M33" s="5">
        <v>1.7708</v>
      </c>
      <c r="N33" s="5">
        <v>1.7733</v>
      </c>
      <c r="O33" s="5">
        <v>1.7758</v>
      </c>
      <c r="P33" s="5">
        <v>1.77615</v>
      </c>
      <c r="Q33" s="5">
        <v>1.7765</v>
      </c>
      <c r="R33" s="5">
        <v>1.7821</v>
      </c>
      <c r="S33" s="5">
        <v>1.7877</v>
      </c>
      <c r="T33" s="5">
        <v>1.79225</v>
      </c>
      <c r="U33" s="5">
        <v>1.7968</v>
      </c>
    </row>
    <row r="34" ht="12.75" customHeight="1">
      <c r="B34" s="4">
        <v>17.0</v>
      </c>
      <c r="C34" s="4">
        <v>1.4383</v>
      </c>
      <c r="D34" s="5">
        <v>1.561125</v>
      </c>
      <c r="E34" s="5">
        <v>1.68395</v>
      </c>
      <c r="F34" s="5">
        <v>1.752</v>
      </c>
      <c r="G34" s="5">
        <v>1.7584</v>
      </c>
      <c r="H34" s="5">
        <v>1.7615</v>
      </c>
      <c r="I34" s="5">
        <v>1.7618</v>
      </c>
      <c r="J34" s="5">
        <v>1.7637</v>
      </c>
      <c r="K34" s="5">
        <v>1.7656</v>
      </c>
      <c r="L34" s="5">
        <v>1.76965</v>
      </c>
      <c r="M34" s="5">
        <v>1.7737</v>
      </c>
      <c r="N34" s="5">
        <v>1.7734</v>
      </c>
      <c r="O34" s="5">
        <v>1.7731</v>
      </c>
      <c r="P34" s="5">
        <v>1.7798</v>
      </c>
      <c r="Q34" s="5">
        <v>1.7865</v>
      </c>
      <c r="R34" s="5">
        <v>1.79135</v>
      </c>
      <c r="S34" s="5">
        <v>1.7962</v>
      </c>
      <c r="T34" s="5">
        <v>1.7996</v>
      </c>
      <c r="U34" s="5">
        <v>1.803</v>
      </c>
    </row>
    <row r="35" ht="12.75" customHeight="1">
      <c r="B35" s="4">
        <v>17.5</v>
      </c>
      <c r="C35" s="4">
        <v>1.4679</v>
      </c>
      <c r="D35" s="5">
        <v>1.6021</v>
      </c>
      <c r="E35" s="5">
        <v>1.7363</v>
      </c>
      <c r="F35" s="5">
        <v>1.7461</v>
      </c>
      <c r="G35" s="5">
        <v>1.7544</v>
      </c>
      <c r="H35" s="5">
        <v>1.7585</v>
      </c>
      <c r="I35" s="5">
        <v>1.7566</v>
      </c>
      <c r="J35" s="5">
        <v>1.7625</v>
      </c>
      <c r="K35" s="5">
        <v>1.7684</v>
      </c>
      <c r="L35" s="5">
        <v>1.76845</v>
      </c>
      <c r="M35" s="5">
        <v>1.7685</v>
      </c>
      <c r="N35" s="5">
        <v>1.7751</v>
      </c>
      <c r="O35" s="5">
        <v>1.7817</v>
      </c>
      <c r="P35" s="5">
        <v>1.787</v>
      </c>
      <c r="Q35" s="5">
        <v>1.7923</v>
      </c>
      <c r="R35" s="5">
        <v>1.79555</v>
      </c>
      <c r="S35" s="5">
        <v>1.7988</v>
      </c>
      <c r="T35" s="5">
        <v>1.7983</v>
      </c>
      <c r="U35" s="5">
        <v>1.7978</v>
      </c>
    </row>
    <row r="36" ht="12.75" customHeight="1">
      <c r="B36" s="4">
        <v>18.0</v>
      </c>
      <c r="C36" s="4">
        <v>1.4844</v>
      </c>
      <c r="D36" s="5">
        <v>1.7315</v>
      </c>
      <c r="E36" s="5">
        <v>1.7261</v>
      </c>
      <c r="F36" s="5">
        <v>1.7459</v>
      </c>
      <c r="G36" s="5">
        <v>1.757</v>
      </c>
      <c r="H36" s="5">
        <v>1.7594</v>
      </c>
      <c r="I36" s="5">
        <v>1.7647</v>
      </c>
      <c r="J36" s="5">
        <v>1.76625</v>
      </c>
      <c r="K36" s="5">
        <v>1.7678</v>
      </c>
      <c r="L36" s="5">
        <v>1.7732</v>
      </c>
      <c r="M36" s="5">
        <v>1.7786</v>
      </c>
      <c r="N36" s="5">
        <v>1.78365</v>
      </c>
      <c r="O36" s="5">
        <v>1.7887</v>
      </c>
      <c r="P36" s="5">
        <v>1.79045</v>
      </c>
      <c r="Q36" s="5">
        <v>1.7922</v>
      </c>
      <c r="R36" s="5">
        <v>1.79575</v>
      </c>
      <c r="S36" s="5">
        <v>1.7993</v>
      </c>
      <c r="T36" s="5">
        <v>1.8051</v>
      </c>
      <c r="U36" s="5">
        <v>1.8109</v>
      </c>
    </row>
    <row r="37" ht="12.75" customHeight="1">
      <c r="B37" s="4">
        <v>18.5</v>
      </c>
      <c r="C37" s="4">
        <v>1.5975</v>
      </c>
      <c r="D37" s="5">
        <v>1.7158</v>
      </c>
      <c r="E37" s="5">
        <v>1.7368</v>
      </c>
      <c r="F37" s="5">
        <v>1.7617</v>
      </c>
      <c r="G37" s="5">
        <v>1.7703</v>
      </c>
      <c r="H37" s="5">
        <v>1.7713</v>
      </c>
      <c r="I37" s="5">
        <v>1.7723</v>
      </c>
      <c r="J37" s="5">
        <v>1.7752</v>
      </c>
      <c r="K37" s="5">
        <v>1.7781</v>
      </c>
      <c r="L37" s="5">
        <v>1.78145</v>
      </c>
      <c r="M37" s="5">
        <v>1.7848</v>
      </c>
      <c r="N37" s="5">
        <v>1.7861</v>
      </c>
      <c r="O37" s="5">
        <v>1.7874</v>
      </c>
      <c r="P37" s="5">
        <v>1.7932</v>
      </c>
      <c r="Q37" s="5">
        <v>1.799</v>
      </c>
      <c r="R37" s="5">
        <v>1.80445</v>
      </c>
      <c r="S37" s="5">
        <v>1.8099</v>
      </c>
      <c r="T37" s="5">
        <v>1.81415</v>
      </c>
      <c r="U37" s="5">
        <v>1.8184</v>
      </c>
    </row>
    <row r="38" ht="12.75" customHeight="1">
      <c r="B38" s="4">
        <v>19.0</v>
      </c>
      <c r="C38" s="4">
        <v>1.7276</v>
      </c>
      <c r="D38" s="5">
        <v>1.7303</v>
      </c>
      <c r="E38" s="5">
        <v>1.7855</v>
      </c>
      <c r="F38" s="5">
        <v>1.8003</v>
      </c>
      <c r="G38" s="5">
        <v>1.7902</v>
      </c>
      <c r="H38" s="5">
        <v>1.796</v>
      </c>
      <c r="I38" s="5">
        <v>1.7908</v>
      </c>
      <c r="J38" s="5">
        <v>1.78925</v>
      </c>
      <c r="K38" s="5">
        <v>1.7877</v>
      </c>
      <c r="L38" s="5">
        <v>1.7898</v>
      </c>
      <c r="M38" s="5">
        <v>1.7919</v>
      </c>
      <c r="N38" s="5">
        <v>1.79545</v>
      </c>
      <c r="O38" s="5">
        <v>1.799</v>
      </c>
      <c r="P38" s="5">
        <v>1.80275</v>
      </c>
      <c r="Q38" s="5">
        <v>1.8065</v>
      </c>
      <c r="R38" s="5">
        <v>1.8085</v>
      </c>
      <c r="S38" s="5">
        <v>1.8105</v>
      </c>
      <c r="T38" s="5">
        <v>1.81765</v>
      </c>
      <c r="U38" s="5">
        <v>1.8248</v>
      </c>
    </row>
    <row r="39" ht="12.75" customHeight="1">
      <c r="B39" s="4">
        <v>19.5</v>
      </c>
      <c r="C39" s="4">
        <v>1.7506</v>
      </c>
      <c r="D39" s="5">
        <v>1.8637</v>
      </c>
      <c r="E39" s="5">
        <v>1.86575</v>
      </c>
      <c r="F39" s="5">
        <v>1.8663</v>
      </c>
      <c r="G39" s="5">
        <v>1.8347</v>
      </c>
      <c r="H39" s="5">
        <v>1.8158</v>
      </c>
      <c r="I39" s="5">
        <v>1.81155</v>
      </c>
      <c r="J39" s="5">
        <v>1.806975</v>
      </c>
      <c r="K39" s="5">
        <v>1.8024</v>
      </c>
      <c r="L39" s="5">
        <v>1.80215</v>
      </c>
      <c r="M39" s="5">
        <v>1.8019</v>
      </c>
      <c r="N39" s="5">
        <v>1.80395</v>
      </c>
      <c r="O39" s="5">
        <v>1.806</v>
      </c>
      <c r="P39" s="5">
        <v>1.81085</v>
      </c>
      <c r="Q39" s="5">
        <v>1.8157</v>
      </c>
      <c r="R39" s="5">
        <v>1.82205</v>
      </c>
      <c r="S39" s="5">
        <v>1.8284</v>
      </c>
      <c r="T39" s="5">
        <v>1.833125</v>
      </c>
      <c r="U39" s="5">
        <v>1.83785</v>
      </c>
    </row>
    <row r="40" ht="12.75" customHeight="1">
      <c r="B40" s="4">
        <v>20.0</v>
      </c>
      <c r="C40" s="4">
        <v>1.9312</v>
      </c>
      <c r="D40" s="5">
        <v>1.9661</v>
      </c>
      <c r="E40" s="5">
        <v>1.946</v>
      </c>
      <c r="F40" s="5">
        <v>1.8961</v>
      </c>
      <c r="G40" s="5">
        <v>1.8819</v>
      </c>
      <c r="H40" s="5">
        <v>1.8516</v>
      </c>
      <c r="I40" s="5">
        <v>1.8323</v>
      </c>
      <c r="J40" s="5">
        <v>1.82675</v>
      </c>
      <c r="K40" s="5">
        <v>1.8212</v>
      </c>
      <c r="L40" s="5">
        <v>1.8175</v>
      </c>
      <c r="M40" s="5">
        <v>1.8138</v>
      </c>
      <c r="N40" s="5">
        <v>1.81515</v>
      </c>
      <c r="O40" s="5">
        <v>1.8165</v>
      </c>
      <c r="P40" s="5">
        <v>1.8211</v>
      </c>
      <c r="Q40" s="5">
        <v>1.8257</v>
      </c>
      <c r="R40" s="5">
        <v>1.83255</v>
      </c>
      <c r="S40" s="5">
        <v>1.8394</v>
      </c>
      <c r="T40" s="5">
        <v>1.84515</v>
      </c>
      <c r="U40" s="5">
        <v>1.8509</v>
      </c>
    </row>
    <row r="41" ht="12.75" customHeight="1">
      <c r="B41" s="4">
        <v>20.5</v>
      </c>
      <c r="C41" s="4">
        <v>2.0104</v>
      </c>
      <c r="D41" s="5">
        <v>1.9966</v>
      </c>
      <c r="E41" s="5">
        <v>1.9754</v>
      </c>
      <c r="F41" s="5">
        <v>1.9453</v>
      </c>
      <c r="G41" s="5">
        <v>1.9299</v>
      </c>
      <c r="H41" s="5">
        <v>1.8851</v>
      </c>
      <c r="I41" s="5">
        <v>1.8586</v>
      </c>
      <c r="J41" s="5">
        <v>1.84395</v>
      </c>
      <c r="K41" s="5">
        <v>1.8293</v>
      </c>
      <c r="L41" s="5">
        <v>1.82475</v>
      </c>
      <c r="M41" s="5">
        <v>1.8202</v>
      </c>
      <c r="N41" s="5">
        <v>1.82305</v>
      </c>
      <c r="O41" s="5">
        <v>1.8259</v>
      </c>
      <c r="P41" s="5">
        <v>1.8311</v>
      </c>
      <c r="Q41" s="5">
        <v>1.8363</v>
      </c>
      <c r="R41" s="5">
        <v>1.8388</v>
      </c>
      <c r="S41" s="5">
        <v>1.8413</v>
      </c>
      <c r="T41" s="5">
        <v>1.8469</v>
      </c>
      <c r="U41" s="5">
        <v>1.8525</v>
      </c>
    </row>
    <row r="42" ht="12.75" customHeight="1">
      <c r="B42" s="4">
        <v>21.0</v>
      </c>
      <c r="C42" s="4">
        <v>1.9895</v>
      </c>
      <c r="D42" s="5">
        <v>2.0092</v>
      </c>
      <c r="E42" s="5">
        <v>2.0033</v>
      </c>
      <c r="F42" s="5">
        <v>1.9928</v>
      </c>
      <c r="G42" s="5">
        <v>1.932</v>
      </c>
      <c r="H42" s="5">
        <v>1.894</v>
      </c>
      <c r="I42" s="5">
        <v>1.8662</v>
      </c>
      <c r="J42" s="5">
        <v>1.8535</v>
      </c>
      <c r="K42" s="5">
        <v>1.8408</v>
      </c>
      <c r="L42" s="5">
        <v>1.8358</v>
      </c>
      <c r="M42" s="5">
        <v>1.8308</v>
      </c>
      <c r="N42" s="5">
        <v>1.83185</v>
      </c>
      <c r="O42" s="5">
        <v>1.8329</v>
      </c>
      <c r="P42" s="5">
        <v>1.83645</v>
      </c>
      <c r="Q42" s="5">
        <v>1.84</v>
      </c>
      <c r="R42" s="5">
        <v>1.84465</v>
      </c>
      <c r="S42" s="5">
        <v>1.8493</v>
      </c>
      <c r="T42" s="5">
        <v>1.8536</v>
      </c>
      <c r="U42" s="5">
        <v>1.8579</v>
      </c>
    </row>
    <row r="43" ht="12.75" customHeight="1">
      <c r="B43" s="4">
        <v>21.5</v>
      </c>
      <c r="C43" s="4">
        <v>1.9618</v>
      </c>
      <c r="D43" s="5">
        <v>2.0047</v>
      </c>
      <c r="E43" s="5">
        <v>1.9867</v>
      </c>
      <c r="F43" s="5">
        <v>1.981</v>
      </c>
      <c r="G43" s="5">
        <v>1.9572</v>
      </c>
      <c r="H43" s="5">
        <v>1.9266</v>
      </c>
      <c r="I43" s="5">
        <v>1.8965</v>
      </c>
      <c r="J43" s="5">
        <v>1.8742</v>
      </c>
      <c r="K43" s="5">
        <v>1.8519</v>
      </c>
      <c r="L43" s="5">
        <v>1.84825</v>
      </c>
      <c r="M43" s="5">
        <v>1.8446</v>
      </c>
      <c r="N43" s="5">
        <v>1.84365</v>
      </c>
      <c r="O43" s="5">
        <v>1.8427</v>
      </c>
      <c r="P43" s="5">
        <v>1.84475</v>
      </c>
      <c r="Q43" s="5">
        <v>1.8468</v>
      </c>
      <c r="R43" s="5">
        <v>1.84805</v>
      </c>
      <c r="S43" s="5">
        <v>1.8493</v>
      </c>
      <c r="T43" s="5">
        <v>1.8545</v>
      </c>
      <c r="U43" s="5">
        <v>1.8597</v>
      </c>
    </row>
    <row r="44" ht="12.75" customHeight="1">
      <c r="B44" s="4">
        <v>22.0</v>
      </c>
      <c r="C44" s="4">
        <v>1.9274</v>
      </c>
      <c r="D44" s="4">
        <v>1.9721</v>
      </c>
      <c r="E44" s="4">
        <v>1.9673</v>
      </c>
      <c r="F44" s="4">
        <v>1.966</v>
      </c>
      <c r="G44" s="4">
        <v>1.9668</v>
      </c>
      <c r="H44" s="4">
        <v>1.9415</v>
      </c>
      <c r="I44" s="4">
        <v>1.9117</v>
      </c>
      <c r="J44" s="4">
        <v>1.8953</v>
      </c>
      <c r="K44" s="4">
        <v>1.8789</v>
      </c>
      <c r="L44" s="4">
        <v>1.8681</v>
      </c>
      <c r="M44" s="4">
        <v>1.8573</v>
      </c>
      <c r="N44" s="4">
        <v>1.85365</v>
      </c>
      <c r="O44" s="4">
        <v>1.85</v>
      </c>
      <c r="P44" s="4">
        <v>1.8513</v>
      </c>
      <c r="Q44" s="4">
        <v>1.8526</v>
      </c>
      <c r="R44" s="4">
        <v>1.85595</v>
      </c>
      <c r="S44" s="4">
        <v>1.8593</v>
      </c>
      <c r="T44" s="4">
        <v>1.86345</v>
      </c>
      <c r="U44" s="4">
        <v>1.8676</v>
      </c>
    </row>
    <row r="45" ht="12.75" customHeight="1">
      <c r="B45" s="4">
        <v>22.5</v>
      </c>
      <c r="C45" s="4">
        <v>1.8925</v>
      </c>
      <c r="D45" s="4">
        <v>1.9257</v>
      </c>
      <c r="E45" s="4">
        <v>1.9593</v>
      </c>
      <c r="F45" s="4">
        <v>1.9395</v>
      </c>
      <c r="G45" s="4">
        <v>1.9444</v>
      </c>
      <c r="H45" s="4">
        <v>1.9502</v>
      </c>
      <c r="I45" s="4">
        <v>1.9234</v>
      </c>
      <c r="J45" s="4">
        <v>1.90495</v>
      </c>
      <c r="K45" s="4">
        <v>1.8865</v>
      </c>
      <c r="L45" s="4">
        <v>1.87865</v>
      </c>
      <c r="M45" s="4">
        <v>1.8708</v>
      </c>
      <c r="N45" s="4">
        <v>1.86575</v>
      </c>
      <c r="O45" s="4">
        <v>1.8607</v>
      </c>
      <c r="P45" s="4">
        <v>1.8611</v>
      </c>
      <c r="Q45" s="4">
        <v>1.8615</v>
      </c>
      <c r="R45" s="4">
        <v>1.86355</v>
      </c>
      <c r="S45" s="4">
        <v>1.8656</v>
      </c>
      <c r="T45" s="4">
        <v>1.8668</v>
      </c>
      <c r="U45" s="4">
        <v>1.868</v>
      </c>
    </row>
    <row r="46" ht="12.75" customHeight="1">
      <c r="B46" s="4">
        <v>23.0</v>
      </c>
      <c r="C46" s="4">
        <v>1.8589</v>
      </c>
      <c r="D46" s="4">
        <v>1.8409</v>
      </c>
      <c r="E46" s="4">
        <v>1.9027</v>
      </c>
      <c r="F46" s="4">
        <v>1.9064</v>
      </c>
      <c r="G46" s="4">
        <v>1.9181</v>
      </c>
      <c r="H46" s="4">
        <v>1.9292</v>
      </c>
      <c r="I46" s="4">
        <v>1.9224</v>
      </c>
      <c r="J46" s="4">
        <v>1.9122</v>
      </c>
      <c r="K46" s="4">
        <v>1.902</v>
      </c>
      <c r="L46" s="4">
        <v>1.89125</v>
      </c>
      <c r="M46" s="4">
        <v>1.8805</v>
      </c>
      <c r="N46" s="4">
        <v>1.8752</v>
      </c>
      <c r="O46" s="4">
        <v>1.8699</v>
      </c>
      <c r="P46" s="4">
        <v>1.86855</v>
      </c>
      <c r="Q46" s="4">
        <v>1.8672</v>
      </c>
      <c r="R46" s="4">
        <v>1.86865</v>
      </c>
      <c r="S46" s="4">
        <v>1.8701</v>
      </c>
      <c r="T46" s="4">
        <v>1.87225</v>
      </c>
      <c r="U46" s="4">
        <v>1.8744</v>
      </c>
    </row>
    <row r="47" ht="12.75" customHeight="1">
      <c r="B47" s="4">
        <v>23.5</v>
      </c>
      <c r="C47" s="4">
        <v>1.7279</v>
      </c>
      <c r="D47" s="4">
        <v>1.7873</v>
      </c>
      <c r="E47" s="4">
        <v>1.8213</v>
      </c>
      <c r="F47" s="4">
        <v>1.8704</v>
      </c>
      <c r="G47" s="4">
        <v>1.8874</v>
      </c>
      <c r="H47" s="4">
        <v>1.906</v>
      </c>
      <c r="I47" s="4">
        <v>1.9155</v>
      </c>
      <c r="J47" s="4">
        <v>1.911</v>
      </c>
      <c r="K47" s="4">
        <v>1.9065</v>
      </c>
      <c r="L47" s="4">
        <v>1.8978</v>
      </c>
      <c r="M47" s="4">
        <v>1.8891</v>
      </c>
      <c r="N47" s="4">
        <v>1.8834</v>
      </c>
      <c r="O47" s="4">
        <v>1.8777</v>
      </c>
      <c r="P47" s="4">
        <v>1.87775</v>
      </c>
      <c r="Q47" s="4">
        <v>1.8778</v>
      </c>
      <c r="R47" s="4">
        <v>1.8775</v>
      </c>
      <c r="S47" s="4">
        <v>1.8772</v>
      </c>
      <c r="T47" s="4">
        <v>1.8788</v>
      </c>
      <c r="U47" s="4">
        <v>1.8804</v>
      </c>
    </row>
    <row r="48" ht="12.75" customHeight="1">
      <c r="B48" s="4">
        <v>24.0</v>
      </c>
      <c r="C48" s="4">
        <v>1.72</v>
      </c>
      <c r="D48" s="4">
        <v>1.7551</v>
      </c>
      <c r="E48" s="4">
        <v>1.7662</v>
      </c>
      <c r="F48" s="4">
        <v>1.8341</v>
      </c>
      <c r="G48" s="4">
        <v>1.8492</v>
      </c>
      <c r="H48" s="4">
        <v>1.8751</v>
      </c>
      <c r="I48" s="4">
        <v>1.9023</v>
      </c>
      <c r="J48" s="4">
        <v>1.90235</v>
      </c>
      <c r="K48" s="4">
        <v>1.9024</v>
      </c>
      <c r="L48" s="4">
        <v>1.898</v>
      </c>
      <c r="M48" s="4">
        <v>1.8936</v>
      </c>
      <c r="N48" s="4">
        <v>1.89165</v>
      </c>
      <c r="O48" s="4">
        <v>1.8897</v>
      </c>
      <c r="P48" s="4">
        <v>1.88715</v>
      </c>
      <c r="Q48" s="4">
        <v>1.8846</v>
      </c>
      <c r="R48" s="4">
        <v>1.8839</v>
      </c>
      <c r="S48" s="4">
        <v>1.8832</v>
      </c>
      <c r="T48" s="4">
        <v>1.8841</v>
      </c>
      <c r="U48" s="4">
        <v>1.885</v>
      </c>
    </row>
    <row r="49" ht="12.75" customHeight="1">
      <c r="B49" s="4">
        <v>24.5</v>
      </c>
      <c r="C49" s="4">
        <v>1.6549</v>
      </c>
      <c r="D49" s="4">
        <v>1.6324</v>
      </c>
      <c r="E49" s="4">
        <v>1.719</v>
      </c>
      <c r="F49" s="4">
        <v>1.8001</v>
      </c>
      <c r="G49" s="4">
        <v>1.8083</v>
      </c>
      <c r="H49" s="4">
        <v>1.8398</v>
      </c>
      <c r="I49" s="4">
        <v>1.8821</v>
      </c>
      <c r="J49" s="4">
        <v>1.88475</v>
      </c>
      <c r="K49" s="4">
        <v>1.8874</v>
      </c>
      <c r="L49" s="4">
        <v>1.8923</v>
      </c>
      <c r="M49" s="4">
        <v>1.8972</v>
      </c>
      <c r="N49" s="4">
        <v>1.89505</v>
      </c>
      <c r="O49" s="4">
        <v>1.8929</v>
      </c>
      <c r="P49" s="4">
        <v>1.8908</v>
      </c>
      <c r="Q49" s="4">
        <v>1.8887</v>
      </c>
      <c r="R49" s="4">
        <v>1.88785</v>
      </c>
      <c r="S49" s="4">
        <v>1.887</v>
      </c>
      <c r="T49" s="4">
        <v>1.88755</v>
      </c>
      <c r="U49" s="4">
        <v>1.8881</v>
      </c>
    </row>
    <row r="50" ht="12.75" customHeight="1">
      <c r="B50" s="4">
        <v>25.0</v>
      </c>
      <c r="C50" s="4">
        <v>1.6242</v>
      </c>
      <c r="D50" s="4">
        <v>1.6703</v>
      </c>
      <c r="E50" s="4">
        <v>1.72275</v>
      </c>
      <c r="F50" s="4">
        <v>1.7752</v>
      </c>
      <c r="G50" s="4">
        <v>1.7689</v>
      </c>
      <c r="H50" s="4">
        <v>1.8029</v>
      </c>
      <c r="I50" s="4">
        <v>1.8507</v>
      </c>
      <c r="J50" s="4">
        <v>1.8558</v>
      </c>
      <c r="K50" s="4">
        <v>1.8609</v>
      </c>
      <c r="L50" s="4">
        <v>1.8727</v>
      </c>
      <c r="M50" s="4">
        <v>1.8845</v>
      </c>
      <c r="N50" s="4">
        <v>1.88705</v>
      </c>
      <c r="O50" s="4">
        <v>1.8896</v>
      </c>
      <c r="P50" s="4">
        <v>1.8896</v>
      </c>
      <c r="Q50" s="4">
        <v>1.8896</v>
      </c>
      <c r="R50" s="4">
        <v>1.8894</v>
      </c>
      <c r="S50" s="4">
        <v>1.8892</v>
      </c>
      <c r="T50" s="4">
        <v>1.8892</v>
      </c>
      <c r="U50" s="4">
        <v>1.8892</v>
      </c>
    </row>
    <row r="51" ht="12.75" customHeight="1"/>
    <row r="52" ht="12.75" customHeight="1">
      <c r="C52" s="4" t="s">
        <v>8</v>
      </c>
      <c r="D52" s="4" t="s">
        <v>8</v>
      </c>
      <c r="E52" s="4" t="s">
        <v>8</v>
      </c>
      <c r="F52" s="4" t="s">
        <v>8</v>
      </c>
      <c r="G52" s="4" t="s">
        <v>8</v>
      </c>
      <c r="H52" s="4" t="s">
        <v>8</v>
      </c>
      <c r="I52" s="4" t="s">
        <v>8</v>
      </c>
      <c r="J52" s="4" t="s">
        <v>8</v>
      </c>
      <c r="K52" s="4" t="s">
        <v>8</v>
      </c>
      <c r="L52" s="4" t="s">
        <v>8</v>
      </c>
      <c r="M52" s="4" t="s">
        <v>8</v>
      </c>
      <c r="N52" s="4" t="s">
        <v>8</v>
      </c>
      <c r="O52" s="4" t="s">
        <v>8</v>
      </c>
      <c r="P52" s="4" t="s">
        <v>8</v>
      </c>
      <c r="Q52" s="4" t="s">
        <v>8</v>
      </c>
      <c r="R52" s="4" t="s">
        <v>8</v>
      </c>
      <c r="S52" s="4" t="s">
        <v>8</v>
      </c>
      <c r="T52" s="4" t="s">
        <v>8</v>
      </c>
      <c r="U52" s="4" t="s">
        <v>8</v>
      </c>
      <c r="W52" s="1" t="s">
        <v>1</v>
      </c>
      <c r="X52" s="1"/>
      <c r="Y52" s="1"/>
      <c r="Z52" s="1"/>
      <c r="AA52" s="1"/>
      <c r="AB52" s="1" t="s">
        <v>2</v>
      </c>
      <c r="AC52" s="1" t="s">
        <v>3</v>
      </c>
      <c r="AE52" s="1"/>
      <c r="AF52" s="1"/>
      <c r="AG52" s="1"/>
      <c r="AH52" s="1"/>
      <c r="AI52" s="1" t="s">
        <v>4</v>
      </c>
      <c r="AK52" s="1" t="s">
        <v>5</v>
      </c>
      <c r="AM52" s="1" t="s">
        <v>6</v>
      </c>
      <c r="AN52" s="1" t="s">
        <v>7</v>
      </c>
      <c r="AO52" s="1" t="s">
        <v>8</v>
      </c>
    </row>
    <row r="53" ht="12.75" customHeight="1">
      <c r="C53" s="4">
        <v>50000.0</v>
      </c>
      <c r="D53" s="5">
        <v>75000.0</v>
      </c>
      <c r="E53" s="5">
        <v>100000.0</v>
      </c>
      <c r="F53" s="5">
        <v>125000.0</v>
      </c>
      <c r="G53" s="5">
        <v>150000.0</v>
      </c>
      <c r="H53" s="5">
        <v>175000.0</v>
      </c>
      <c r="I53" s="5">
        <v>200000.0</v>
      </c>
      <c r="J53" s="5">
        <v>225000.0</v>
      </c>
      <c r="K53" s="5">
        <v>250000.0</v>
      </c>
      <c r="L53" s="5">
        <v>275000.0</v>
      </c>
      <c r="M53" s="5">
        <v>300000.0</v>
      </c>
      <c r="N53" s="5">
        <v>325000.0</v>
      </c>
      <c r="O53" s="5">
        <v>350000.0</v>
      </c>
      <c r="P53" s="5">
        <v>375000.0</v>
      </c>
      <c r="Q53" s="5">
        <v>400000.0</v>
      </c>
      <c r="R53" s="5">
        <v>425000.0</v>
      </c>
      <c r="S53" s="5">
        <v>450000.0</v>
      </c>
      <c r="T53" s="5">
        <v>475000.0</v>
      </c>
      <c r="U53" s="5">
        <v>500000.0</v>
      </c>
      <c r="W53" s="2" t="str">
        <f>IF('расчет'!R22&lt;50000,50000,'расчет'!R22)</f>
        <v>163883.2139</v>
      </c>
      <c r="X53" s="2" t="str">
        <f t="shared" ref="X53:X69" si="28">IF((W53&gt;475000),475000,(ROUNDDOWN((W53/25000),0))*25000)</f>
        <v>150000</v>
      </c>
      <c r="Y53" s="2" t="str">
        <f t="shared" ref="Y53:Y69" si="29">X53+25000</f>
        <v>175000</v>
      </c>
      <c r="Z53" s="2" t="str">
        <f t="shared" ref="Z53:Z69" si="30">IF((W53&gt;500000),0,(Y53-W53)/25000)</f>
        <v>0.444671445</v>
      </c>
      <c r="AA53" s="2" t="str">
        <f t="shared" ref="AA53:AA69" si="31">1-Z53</f>
        <v>0.555328555</v>
      </c>
      <c r="AB53" s="2" t="str">
        <f>'расчет'!P22</f>
        <v>7.018095386</v>
      </c>
      <c r="AC53" s="1">
        <v>2.0</v>
      </c>
      <c r="AD53" s="1">
        <v>25.0</v>
      </c>
      <c r="AE53" s="2" t="str">
        <f t="shared" ref="AE53:AE69" si="33">IF(AB53&gt;0,ROUNDDOWN((AB53/0.5),0)*0.5,ROUNDUP((AB53/0.5),0)*0.5)</f>
        <v>7</v>
      </c>
      <c r="AF53" s="2" t="str">
        <f t="shared" ref="AF53:AF69" si="34">AE53+0.5</f>
        <v>7.5</v>
      </c>
      <c r="AG53" s="2" t="str">
        <f t="shared" ref="AG53:AG69" si="35">(AF53-AB53)/0.5</f>
        <v>0.9638092287</v>
      </c>
      <c r="AH53" s="2" t="str">
        <f t="shared" ref="AH53:AH69" si="36">1-AG53</f>
        <v>0.03619077129</v>
      </c>
      <c r="AI53" s="2" t="str">
        <f>VLOOKUP(AE53,B54:U100,(X53/25000),FALSE)</f>
        <v>7.364002003</v>
      </c>
      <c r="AJ53" s="2" t="str">
        <f>VLOOKUP(AF53,B54:U100,(X53/25000),FALSE)</f>
        <v>7.663277093</v>
      </c>
      <c r="AK53" s="2" t="str">
        <f>VLOOKUP(AE53,B54:U100,(Y53/25000),FALSE)</f>
        <v>9.485395584</v>
      </c>
      <c r="AL53" s="2" t="str">
        <f>VLOOKUP(AF53,B54:U100,(Y53/25000),FALSE)</f>
        <v>9.881305638</v>
      </c>
      <c r="AM53" s="2" t="str">
        <f t="shared" ref="AM53:AM69" si="37">AI53*AG53+AJ53*AH53</f>
        <v>7.374832999</v>
      </c>
      <c r="AN53" s="2" t="str">
        <f t="shared" ref="AN53:AN69" si="38">AK53*AG53+AL53*AH53</f>
        <v>9.499723874</v>
      </c>
      <c r="AO53" s="2" t="str">
        <f t="shared" ref="AO53:AO69" si="39">AM53*Z53+AN53*AA53</f>
        <v>8.554845578</v>
      </c>
    </row>
    <row r="54" ht="12.75" customHeight="1">
      <c r="B54" s="4">
        <v>2.0</v>
      </c>
      <c r="C54" s="4">
        <v>1.0</v>
      </c>
      <c r="D54" s="5">
        <v>1.0</v>
      </c>
      <c r="E54" s="5">
        <v>1.0</v>
      </c>
      <c r="F54" s="5">
        <v>1.0</v>
      </c>
      <c r="G54" s="5">
        <v>1.221076747</v>
      </c>
      <c r="H54" s="5">
        <v>2.213559322</v>
      </c>
      <c r="I54" s="5">
        <v>3.698655713</v>
      </c>
      <c r="J54" s="5">
        <v>4.36129447</v>
      </c>
      <c r="K54" s="5">
        <v>5.107490145</v>
      </c>
      <c r="L54" s="5">
        <v>5.954110684</v>
      </c>
      <c r="M54" s="5">
        <v>6.922891856</v>
      </c>
      <c r="N54" s="5">
        <v>8.5592741</v>
      </c>
      <c r="O54" s="5">
        <v>10.40306321</v>
      </c>
      <c r="P54" s="5">
        <v>10.97911216</v>
      </c>
      <c r="Q54" s="5">
        <v>11.60310527</v>
      </c>
      <c r="R54" s="5">
        <v>14.21376759</v>
      </c>
      <c r="S54" s="5">
        <v>17.3793194</v>
      </c>
      <c r="T54" s="5">
        <v>21.29770774</v>
      </c>
      <c r="U54" s="5">
        <v>26.27373847</v>
      </c>
      <c r="W54" s="2" t="str">
        <f>IF('расчет'!R23&lt;50000,50000,'расчет'!R23)</f>
        <v>161126.0378</v>
      </c>
      <c r="X54" s="2" t="str">
        <f t="shared" si="28"/>
        <v>150000</v>
      </c>
      <c r="Y54" s="2" t="str">
        <f t="shared" si="29"/>
        <v>175000</v>
      </c>
      <c r="Z54" s="2" t="str">
        <f t="shared" si="30"/>
        <v>0.5549584897</v>
      </c>
      <c r="AA54" s="2" t="str">
        <f t="shared" si="31"/>
        <v>0.4450415103</v>
      </c>
      <c r="AB54" s="2" t="str">
        <f>'расчет'!P23</f>
        <v>7.75866912</v>
      </c>
      <c r="AC54" s="2" t="str">
        <f t="shared" ref="AC54:AD54" si="32">AC53</f>
        <v>2</v>
      </c>
      <c r="AD54" s="2" t="str">
        <f t="shared" si="32"/>
        <v>25</v>
      </c>
      <c r="AE54" s="2" t="str">
        <f t="shared" si="33"/>
        <v>7.5</v>
      </c>
      <c r="AF54" s="2" t="str">
        <f t="shared" si="34"/>
        <v>8</v>
      </c>
      <c r="AG54" s="2" t="str">
        <f t="shared" si="35"/>
        <v>0.4826617596</v>
      </c>
      <c r="AH54" s="2" t="str">
        <f t="shared" si="36"/>
        <v>0.5173382404</v>
      </c>
      <c r="AI54" s="2" t="str">
        <f>VLOOKUP(AE54,B54:U100,(X54/25000),FALSE)</f>
        <v>7.663277093</v>
      </c>
      <c r="AJ54" s="2" t="str">
        <f>VLOOKUP(AF54,B54:U100,(X54/25000),FALSE)</f>
        <v>7.646887434</v>
      </c>
      <c r="AK54" s="2" t="str">
        <f>VLOOKUP(AE54,B54:U100,(Y54/25000),FALSE)</f>
        <v>9.881305638</v>
      </c>
      <c r="AL54" s="2" t="str">
        <f>VLOOKUP(AF54,B54:U100,(Y54/25000),FALSE)</f>
        <v>10.19083982</v>
      </c>
      <c r="AM54" s="2" t="str">
        <f t="shared" si="37"/>
        <v>7.654798096</v>
      </c>
      <c r="AN54" s="2" t="str">
        <f t="shared" si="38"/>
        <v>10.04143951</v>
      </c>
      <c r="AO54" s="2" t="str">
        <f t="shared" si="39"/>
        <v>8.716952594</v>
      </c>
    </row>
    <row r="55" ht="12.75" customHeight="1">
      <c r="B55" s="4">
        <v>2.5</v>
      </c>
      <c r="C55" s="4">
        <v>1.0</v>
      </c>
      <c r="D55" s="5">
        <v>1.0</v>
      </c>
      <c r="E55" s="5">
        <v>1.0</v>
      </c>
      <c r="F55" s="5">
        <v>1.0</v>
      </c>
      <c r="G55" s="5">
        <v>1.045721347</v>
      </c>
      <c r="H55" s="5">
        <v>3.204127411</v>
      </c>
      <c r="I55" s="5">
        <v>4.442767005</v>
      </c>
      <c r="J55" s="5">
        <v>5.142429052</v>
      </c>
      <c r="K55" s="5">
        <v>5.905335788</v>
      </c>
      <c r="L55" s="5">
        <v>7.469284339</v>
      </c>
      <c r="M55" s="5">
        <v>9.308497384</v>
      </c>
      <c r="N55" s="5">
        <v>10.48061418</v>
      </c>
      <c r="O55" s="5">
        <v>11.78614487</v>
      </c>
      <c r="P55" s="5">
        <v>12.38729227</v>
      </c>
      <c r="Q55" s="5">
        <v>13.03619579</v>
      </c>
      <c r="R55" s="5">
        <v>16.03028634</v>
      </c>
      <c r="S55" s="5">
        <v>19.71885294</v>
      </c>
      <c r="T55" s="5">
        <v>24.37521854</v>
      </c>
      <c r="U55" s="5">
        <v>30.43779134</v>
      </c>
      <c r="W55" s="2" t="str">
        <f>IF('расчет'!R24&lt;50000,50000,'расчет'!R24)</f>
        <v>158297.851</v>
      </c>
      <c r="X55" s="2" t="str">
        <f t="shared" si="28"/>
        <v>150000</v>
      </c>
      <c r="Y55" s="2" t="str">
        <f t="shared" si="29"/>
        <v>175000</v>
      </c>
      <c r="Z55" s="2" t="str">
        <f t="shared" si="30"/>
        <v>0.6680859584</v>
      </c>
      <c r="AA55" s="2" t="str">
        <f t="shared" si="31"/>
        <v>0.3319140416</v>
      </c>
      <c r="AB55" s="2" t="str">
        <f>'расчет'!P24</f>
        <v>8.407959642</v>
      </c>
      <c r="AC55" s="2" t="str">
        <f t="shared" ref="AC55:AD55" si="40">AC54</f>
        <v>2</v>
      </c>
      <c r="AD55" s="2" t="str">
        <f t="shared" si="40"/>
        <v>25</v>
      </c>
      <c r="AE55" s="2" t="str">
        <f t="shared" si="33"/>
        <v>8</v>
      </c>
      <c r="AF55" s="2" t="str">
        <f t="shared" si="34"/>
        <v>8.5</v>
      </c>
      <c r="AG55" s="2" t="str">
        <f t="shared" si="35"/>
        <v>0.1840807162</v>
      </c>
      <c r="AH55" s="2" t="str">
        <f t="shared" si="36"/>
        <v>0.8159192838</v>
      </c>
      <c r="AI55" s="2" t="str">
        <f>VLOOKUP(AE55,B54:U100,(X55/25000),FALSE)</f>
        <v>7.646887434</v>
      </c>
      <c r="AJ55" s="2" t="str">
        <f>VLOOKUP(AF55,B54:U100,(X55/25000),FALSE)</f>
        <v>7.631708173</v>
      </c>
      <c r="AK55" s="2" t="str">
        <f>VLOOKUP(AE55,B54:U100,(Y55/25000),FALSE)</f>
        <v>10.19083982</v>
      </c>
      <c r="AL55" s="2" t="str">
        <f>VLOOKUP(AF55,B54:U100,(Y55/25000),FALSE)</f>
        <v>10.49691046</v>
      </c>
      <c r="AM55" s="2" t="str">
        <f t="shared" si="37"/>
        <v>7.634502382</v>
      </c>
      <c r="AN55" s="2" t="str">
        <f t="shared" si="38"/>
        <v>10.44056876</v>
      </c>
      <c r="AO55" s="2" t="str">
        <f t="shared" si="39"/>
        <v>8.565875214</v>
      </c>
    </row>
    <row r="56" ht="12.75" customHeight="1">
      <c r="B56" s="4">
        <v>3.0</v>
      </c>
      <c r="C56" s="4">
        <v>1.0</v>
      </c>
      <c r="D56" s="5">
        <v>1.0</v>
      </c>
      <c r="E56" s="5">
        <v>1.0</v>
      </c>
      <c r="F56" s="5">
        <v>1.591700742</v>
      </c>
      <c r="G56" s="5">
        <v>1.66692988</v>
      </c>
      <c r="H56" s="5">
        <v>3.956345852</v>
      </c>
      <c r="I56" s="5">
        <v>5.222699113</v>
      </c>
      <c r="J56" s="5">
        <v>5.93725233</v>
      </c>
      <c r="K56" s="5">
        <v>6.715769241</v>
      </c>
      <c r="L56" s="5">
        <v>8.02150706</v>
      </c>
      <c r="M56" s="5">
        <v>9.512851785</v>
      </c>
      <c r="N56" s="5">
        <v>11.23240662</v>
      </c>
      <c r="O56" s="5">
        <v>13.23689355</v>
      </c>
      <c r="P56" s="5">
        <v>13.85928723</v>
      </c>
      <c r="Q56" s="5">
        <v>14.52866972</v>
      </c>
      <c r="R56" s="5">
        <v>17.94997109</v>
      </c>
      <c r="S56" s="5">
        <v>22.23626489</v>
      </c>
      <c r="T56" s="5">
        <v>27.76305835</v>
      </c>
      <c r="U56" s="5">
        <v>35.15998359</v>
      </c>
      <c r="W56" s="2" t="str">
        <f>IF('расчет'!R25&lt;50000,50000,'расчет'!R25)</f>
        <v>155303.7932</v>
      </c>
      <c r="X56" s="2" t="str">
        <f t="shared" si="28"/>
        <v>150000</v>
      </c>
      <c r="Y56" s="2" t="str">
        <f t="shared" si="29"/>
        <v>175000</v>
      </c>
      <c r="Z56" s="2" t="str">
        <f t="shared" si="30"/>
        <v>0.7878482728</v>
      </c>
      <c r="AA56" s="2" t="str">
        <f t="shared" si="31"/>
        <v>0.2121517272</v>
      </c>
      <c r="AB56" s="2" t="str">
        <f>'расчет'!P25</f>
        <v>8.972215942</v>
      </c>
      <c r="AC56" s="2" t="str">
        <f t="shared" ref="AC56:AD56" si="41">AC55</f>
        <v>2</v>
      </c>
      <c r="AD56" s="2" t="str">
        <f t="shared" si="41"/>
        <v>25</v>
      </c>
      <c r="AE56" s="2" t="str">
        <f t="shared" si="33"/>
        <v>8.5</v>
      </c>
      <c r="AF56" s="2" t="str">
        <f t="shared" si="34"/>
        <v>9</v>
      </c>
      <c r="AG56" s="2" t="str">
        <f t="shared" si="35"/>
        <v>0.05556811655</v>
      </c>
      <c r="AH56" s="2" t="str">
        <f t="shared" si="36"/>
        <v>0.9444318834</v>
      </c>
      <c r="AI56" s="2" t="str">
        <f>VLOOKUP(AE56,B54:U100,(X56/25000),FALSE)</f>
        <v>7.631708173</v>
      </c>
      <c r="AJ56" s="2" t="str">
        <f>VLOOKUP(AF56,B54:U100,(X56/25000),FALSE)</f>
        <v>7.951488419</v>
      </c>
      <c r="AK56" s="2" t="str">
        <f>VLOOKUP(AE56,B54:U100,(Y56/25000),FALSE)</f>
        <v>10.49691046</v>
      </c>
      <c r="AL56" s="2" t="str">
        <f>VLOOKUP(AF56,B54:U100,(Y56/25000),FALSE)</f>
        <v>10.79957535</v>
      </c>
      <c r="AM56" s="2" t="str">
        <f t="shared" si="37"/>
        <v>7.933718833</v>
      </c>
      <c r="AN56" s="2" t="str">
        <f t="shared" si="38"/>
        <v>10.78275683</v>
      </c>
      <c r="AO56" s="2" t="str">
        <f t="shared" si="39"/>
        <v>8.538147165</v>
      </c>
    </row>
    <row r="57" ht="12.75" customHeight="1">
      <c r="B57" s="4">
        <v>3.5</v>
      </c>
      <c r="C57" s="4">
        <v>1.064623032</v>
      </c>
      <c r="D57" s="5">
        <v>1.421639629</v>
      </c>
      <c r="E57" s="5">
        <v>1.470367592</v>
      </c>
      <c r="F57" s="5">
        <v>2.171861706</v>
      </c>
      <c r="G57" s="5">
        <v>2.262525684</v>
      </c>
      <c r="H57" s="5">
        <v>4.722823271</v>
      </c>
      <c r="I57" s="5">
        <v>6.016321823</v>
      </c>
      <c r="J57" s="5">
        <v>6.745399362</v>
      </c>
      <c r="K57" s="5">
        <v>7.539090775</v>
      </c>
      <c r="L57" s="5">
        <v>8.965644563</v>
      </c>
      <c r="M57" s="5">
        <v>10.60673809</v>
      </c>
      <c r="N57" s="5">
        <v>12.51470351</v>
      </c>
      <c r="O57" s="5">
        <v>14.76039968</v>
      </c>
      <c r="P57" s="5">
        <v>15.39953547</v>
      </c>
      <c r="Q57" s="5">
        <v>16.0842962</v>
      </c>
      <c r="R57" s="5">
        <v>19.98186741</v>
      </c>
      <c r="S57" s="5">
        <v>24.9526435</v>
      </c>
      <c r="T57" s="5">
        <v>31.51065872</v>
      </c>
      <c r="U57" s="5">
        <v>40.56059357</v>
      </c>
      <c r="W57" s="2" t="str">
        <f>IF('расчет'!R26&lt;50000,50000,'расчет'!R26)</f>
        <v>152048.384</v>
      </c>
      <c r="X57" s="2" t="str">
        <f t="shared" si="28"/>
        <v>150000</v>
      </c>
      <c r="Y57" s="2" t="str">
        <f t="shared" si="29"/>
        <v>175000</v>
      </c>
      <c r="Z57" s="2" t="str">
        <f t="shared" si="30"/>
        <v>0.9180646404</v>
      </c>
      <c r="AA57" s="2" t="str">
        <f t="shared" si="31"/>
        <v>0.08193535957</v>
      </c>
      <c r="AB57" s="2" t="str">
        <f>'расчет'!P26</f>
        <v>9.459475009</v>
      </c>
      <c r="AC57" s="2" t="str">
        <f t="shared" ref="AC57:AD57" si="42">AC56</f>
        <v>2</v>
      </c>
      <c r="AD57" s="2" t="str">
        <f t="shared" si="42"/>
        <v>25</v>
      </c>
      <c r="AE57" s="2" t="str">
        <f t="shared" si="33"/>
        <v>9</v>
      </c>
      <c r="AF57" s="2" t="str">
        <f t="shared" si="34"/>
        <v>9.5</v>
      </c>
      <c r="AG57" s="2" t="str">
        <f t="shared" si="35"/>
        <v>0.08104998293</v>
      </c>
      <c r="AH57" s="2" t="str">
        <f t="shared" si="36"/>
        <v>0.9189500171</v>
      </c>
      <c r="AI57" s="2" t="str">
        <f>VLOOKUP(AE57,B54:U100,(X57/25000),FALSE)</f>
        <v>7.951488419</v>
      </c>
      <c r="AJ57" s="2" t="str">
        <f>VLOOKUP(AF57,B54:U100,(X57/25000),FALSE)</f>
        <v>8.270579817</v>
      </c>
      <c r="AK57" s="2" t="str">
        <f>VLOOKUP(AE57,B54:U100,(Y57/25000),FALSE)</f>
        <v>10.79957535</v>
      </c>
      <c r="AL57" s="2" t="str">
        <f>VLOOKUP(AF57,B54:U100,(Y57/25000),FALSE)</f>
        <v>11.09889103</v>
      </c>
      <c r="AM57" s="2" t="str">
        <f t="shared" si="37"/>
        <v>8.244717465</v>
      </c>
      <c r="AN57" s="2" t="str">
        <f t="shared" si="38"/>
        <v>11.0746315</v>
      </c>
      <c r="AO57" s="2" t="str">
        <f t="shared" si="39"/>
        <v>8.476587489</v>
      </c>
    </row>
    <row r="58" ht="12.75" customHeight="1">
      <c r="B58" s="4">
        <v>4.0</v>
      </c>
      <c r="C58" s="4">
        <v>1.688231246</v>
      </c>
      <c r="D58" s="5">
        <v>1.934710774</v>
      </c>
      <c r="E58" s="5">
        <v>2.0232085</v>
      </c>
      <c r="F58" s="5">
        <v>2.317716413</v>
      </c>
      <c r="G58" s="5">
        <v>2.859063587</v>
      </c>
      <c r="H58" s="5">
        <v>5.503968987</v>
      </c>
      <c r="I58" s="5">
        <v>6.823998803</v>
      </c>
      <c r="J58" s="5">
        <v>7.567208003</v>
      </c>
      <c r="K58" s="5">
        <v>8.375610285</v>
      </c>
      <c r="L58" s="5">
        <v>9.931429611</v>
      </c>
      <c r="M58" s="5">
        <v>11.73445027</v>
      </c>
      <c r="N58" s="5">
        <v>13.84867278</v>
      </c>
      <c r="O58" s="5">
        <v>16.36227741</v>
      </c>
      <c r="P58" s="5">
        <v>17.01289682</v>
      </c>
      <c r="Q58" s="5">
        <v>17.7071702</v>
      </c>
      <c r="R58" s="5">
        <v>21.5740751</v>
      </c>
      <c r="S58" s="5">
        <v>26.44297155</v>
      </c>
      <c r="T58" s="5">
        <v>32.7612812</v>
      </c>
      <c r="U58" s="5">
        <v>41.28939343</v>
      </c>
      <c r="W58" s="2" t="str">
        <f>IF('расчет'!R27&lt;50000,50000,'расчет'!R27)</f>
        <v>148436.2342</v>
      </c>
      <c r="X58" s="2" t="str">
        <f t="shared" si="28"/>
        <v>125000</v>
      </c>
      <c r="Y58" s="2" t="str">
        <f t="shared" si="29"/>
        <v>150000</v>
      </c>
      <c r="Z58" s="2" t="str">
        <f t="shared" si="30"/>
        <v>0.06255063385</v>
      </c>
      <c r="AA58" s="2" t="str">
        <f t="shared" si="31"/>
        <v>0.9374493661</v>
      </c>
      <c r="AB58" s="2" t="str">
        <f>'расчет'!P27</f>
        <v>9.880167544</v>
      </c>
      <c r="AC58" s="2" t="str">
        <f t="shared" ref="AC58:AD58" si="43">AC57</f>
        <v>2</v>
      </c>
      <c r="AD58" s="2" t="str">
        <f t="shared" si="43"/>
        <v>25</v>
      </c>
      <c r="AE58" s="2" t="str">
        <f t="shared" si="33"/>
        <v>9.5</v>
      </c>
      <c r="AF58" s="2" t="str">
        <f t="shared" si="34"/>
        <v>10</v>
      </c>
      <c r="AG58" s="2" t="str">
        <f t="shared" si="35"/>
        <v>0.2396649114</v>
      </c>
      <c r="AH58" s="2" t="str">
        <f t="shared" si="36"/>
        <v>0.7603350886</v>
      </c>
      <c r="AI58" s="2" t="str">
        <f>VLOOKUP(AE58,B54:U100,(X58/25000),FALSE)</f>
        <v>6.838390093</v>
      </c>
      <c r="AJ58" s="2" t="str">
        <f>VLOOKUP(AF58,B54:U100,(X58/25000),FALSE)</f>
        <v>6.69995763</v>
      </c>
      <c r="AK58" s="2" t="str">
        <f>VLOOKUP(AE58,B54:U100,(Y58/25000),FALSE)</f>
        <v>8.270579817</v>
      </c>
      <c r="AL58" s="2" t="str">
        <f>VLOOKUP(AF58,B54:U100,(Y58/25000),FALSE)</f>
        <v>8.58898459</v>
      </c>
      <c r="AM58" s="2" t="str">
        <f t="shared" si="37"/>
        <v>6.733135034</v>
      </c>
      <c r="AN58" s="2" t="str">
        <f t="shared" si="38"/>
        <v>8.512674138</v>
      </c>
      <c r="AO58" s="2" t="str">
        <f t="shared" si="39"/>
        <v>8.401362839</v>
      </c>
    </row>
    <row r="59" ht="12.75" customHeight="1">
      <c r="B59" s="4">
        <v>4.5</v>
      </c>
      <c r="C59" s="4">
        <v>1.899741824</v>
      </c>
      <c r="D59" s="5">
        <v>2.450659093</v>
      </c>
      <c r="E59" s="5">
        <v>2.580986982</v>
      </c>
      <c r="F59" s="5">
        <v>3.037915613</v>
      </c>
      <c r="G59" s="5">
        <v>3.520755019</v>
      </c>
      <c r="H59" s="5">
        <v>6.192242218</v>
      </c>
      <c r="I59" s="5">
        <v>7.571502871</v>
      </c>
      <c r="J59" s="5">
        <v>8.359322519</v>
      </c>
      <c r="K59" s="5">
        <v>9.225647686</v>
      </c>
      <c r="L59" s="5">
        <v>10.91961536</v>
      </c>
      <c r="M59" s="5">
        <v>12.89758192</v>
      </c>
      <c r="N59" s="5">
        <v>15.23750199</v>
      </c>
      <c r="O59" s="5">
        <v>18.04873371</v>
      </c>
      <c r="P59" s="5">
        <v>18.70470366</v>
      </c>
      <c r="Q59" s="5">
        <v>19.40174859</v>
      </c>
      <c r="R59" s="5">
        <v>23.21759677</v>
      </c>
      <c r="S59" s="5">
        <v>27.95919013</v>
      </c>
      <c r="T59" s="5">
        <v>34.00992132</v>
      </c>
      <c r="U59" s="5">
        <v>41.99879631</v>
      </c>
      <c r="W59" s="2" t="str">
        <f>IF('расчет'!R28&lt;50000,50000,'расчет'!R28)</f>
        <v>144372.9701</v>
      </c>
      <c r="X59" s="2" t="str">
        <f t="shared" si="28"/>
        <v>125000</v>
      </c>
      <c r="Y59" s="2" t="str">
        <f t="shared" si="29"/>
        <v>150000</v>
      </c>
      <c r="Z59" s="2" t="str">
        <f t="shared" si="30"/>
        <v>0.2250811965</v>
      </c>
      <c r="AA59" s="2" t="str">
        <f t="shared" si="31"/>
        <v>0.7749188035</v>
      </c>
      <c r="AB59" s="2" t="str">
        <f>'расчет'!P28</f>
        <v>10.2479629</v>
      </c>
      <c r="AC59" s="2" t="str">
        <f t="shared" ref="AC59:AD59" si="44">AC58</f>
        <v>2</v>
      </c>
      <c r="AD59" s="2" t="str">
        <f t="shared" si="44"/>
        <v>25</v>
      </c>
      <c r="AE59" s="2" t="str">
        <f t="shared" si="33"/>
        <v>10</v>
      </c>
      <c r="AF59" s="2" t="str">
        <f t="shared" si="34"/>
        <v>10.5</v>
      </c>
      <c r="AG59" s="2" t="str">
        <f t="shared" si="35"/>
        <v>0.5040741949</v>
      </c>
      <c r="AH59" s="2" t="str">
        <f t="shared" si="36"/>
        <v>0.4959258051</v>
      </c>
      <c r="AI59" s="2" t="str">
        <f>VLOOKUP(AE59,B54:U100,(X59/25000),FALSE)</f>
        <v>6.69995763</v>
      </c>
      <c r="AJ59" s="2" t="str">
        <f>VLOOKUP(AF59,B54:U100,(X59/25000),FALSE)</f>
        <v>6.935618232</v>
      </c>
      <c r="AK59" s="2" t="str">
        <f>VLOOKUP(AE59,B54:U100,(Y59/25000),FALSE)</f>
        <v>8.58898459</v>
      </c>
      <c r="AL59" s="2" t="str">
        <f>VLOOKUP(AF59,B54:U100,(Y59/25000),FALSE)</f>
        <v>8.906704951</v>
      </c>
      <c r="AM59" s="2" t="str">
        <f t="shared" si="37"/>
        <v>6.816827804</v>
      </c>
      <c r="AN59" s="2" t="str">
        <f t="shared" si="38"/>
        <v>8.746550316</v>
      </c>
      <c r="AO59" s="2" t="str">
        <f t="shared" si="39"/>
        <v>8.312206064</v>
      </c>
    </row>
    <row r="60" ht="12.75" customHeight="1">
      <c r="B60" s="4">
        <v>5.0</v>
      </c>
      <c r="C60" s="4">
        <v>2.541023333</v>
      </c>
      <c r="D60" s="5">
        <v>2.960593282</v>
      </c>
      <c r="E60" s="5">
        <v>3.14053085</v>
      </c>
      <c r="F60" s="5">
        <v>3.936243847</v>
      </c>
      <c r="G60" s="5">
        <v>4.780472341</v>
      </c>
      <c r="H60" s="5">
        <v>6.864223491</v>
      </c>
      <c r="I60" s="5">
        <v>8.314747243</v>
      </c>
      <c r="J60" s="5">
        <v>9.155171401</v>
      </c>
      <c r="K60" s="5">
        <v>10.08953331</v>
      </c>
      <c r="L60" s="5">
        <v>11.93099029</v>
      </c>
      <c r="M60" s="5">
        <v>14.09782838</v>
      </c>
      <c r="N60" s="5">
        <v>16.68464638</v>
      </c>
      <c r="O60" s="5">
        <v>19.82664881</v>
      </c>
      <c r="P60" s="5">
        <v>20.48081986</v>
      </c>
      <c r="Q60" s="5">
        <v>21.17289096</v>
      </c>
      <c r="R60" s="5">
        <v>24.91495369</v>
      </c>
      <c r="S60" s="5">
        <v>29.50197982</v>
      </c>
      <c r="T60" s="5">
        <v>35.25658378</v>
      </c>
      <c r="U60" s="5">
        <v>42.68956642</v>
      </c>
      <c r="W60" s="2" t="str">
        <f>IF('расчет'!R29&lt;50000,50000,'расчет'!R29)</f>
        <v>139766.3665</v>
      </c>
      <c r="X60" s="2" t="str">
        <f t="shared" si="28"/>
        <v>125000</v>
      </c>
      <c r="Y60" s="2" t="str">
        <f t="shared" si="29"/>
        <v>150000</v>
      </c>
      <c r="Z60" s="2" t="str">
        <f t="shared" si="30"/>
        <v>0.4093453385</v>
      </c>
      <c r="AA60" s="2" t="str">
        <f t="shared" si="31"/>
        <v>0.5906546615</v>
      </c>
      <c r="AB60" s="2" t="str">
        <f>'расчет'!P29</f>
        <v>10.5809717</v>
      </c>
      <c r="AC60" s="2" t="str">
        <f t="shared" ref="AC60:AD60" si="45">AC59</f>
        <v>2</v>
      </c>
      <c r="AD60" s="2" t="str">
        <f t="shared" si="45"/>
        <v>25</v>
      </c>
      <c r="AE60" s="2" t="str">
        <f t="shared" si="33"/>
        <v>10.5</v>
      </c>
      <c r="AF60" s="2" t="str">
        <f t="shared" si="34"/>
        <v>11</v>
      </c>
      <c r="AG60" s="2" t="str">
        <f t="shared" si="35"/>
        <v>0.8380565967</v>
      </c>
      <c r="AH60" s="2" t="str">
        <f t="shared" si="36"/>
        <v>0.1619434033</v>
      </c>
      <c r="AI60" s="2" t="str">
        <f>VLOOKUP(AE60,B54:U100,(X60/25000),FALSE)</f>
        <v>6.935618232</v>
      </c>
      <c r="AJ60" s="2" t="str">
        <f>VLOOKUP(AF60,B54:U100,(X60/25000),FALSE)</f>
        <v>7.360129388</v>
      </c>
      <c r="AK60" s="2" t="str">
        <f>VLOOKUP(AE60,B54:U100,(Y60/25000),FALSE)</f>
        <v>8.906704951</v>
      </c>
      <c r="AL60" s="2" t="str">
        <f>VLOOKUP(AF60,B54:U100,(Y60/25000),FALSE)</f>
        <v>9.223743105</v>
      </c>
      <c r="AM60" s="2" t="str">
        <f t="shared" si="37"/>
        <v>7.004365013</v>
      </c>
      <c r="AN60" s="2" t="str">
        <f t="shared" si="38"/>
        <v>8.958047189</v>
      </c>
      <c r="AO60" s="2" t="str">
        <f t="shared" si="39"/>
        <v>8.158316497</v>
      </c>
    </row>
    <row r="61" ht="12.75" customHeight="1">
      <c r="B61" s="4">
        <v>5.5</v>
      </c>
      <c r="C61" s="4">
        <v>3.077928331</v>
      </c>
      <c r="D61" s="5">
        <v>3.411151567</v>
      </c>
      <c r="E61" s="5">
        <v>3.68560755</v>
      </c>
      <c r="F61" s="5">
        <v>4.433281005</v>
      </c>
      <c r="G61" s="5">
        <v>5.214577394</v>
      </c>
      <c r="H61" s="5">
        <v>7.520484503</v>
      </c>
      <c r="I61" s="5">
        <v>9.053768226</v>
      </c>
      <c r="J61" s="5">
        <v>9.954781118</v>
      </c>
      <c r="K61" s="5">
        <v>10.96760835</v>
      </c>
      <c r="L61" s="5">
        <v>12.96638036</v>
      </c>
      <c r="M61" s="5">
        <v>15.3369949</v>
      </c>
      <c r="N61" s="5">
        <v>18.19385759</v>
      </c>
      <c r="O61" s="5">
        <v>21.70366996</v>
      </c>
      <c r="P61" s="5">
        <v>22.34770868</v>
      </c>
      <c r="Q61" s="5">
        <v>23.02590618</v>
      </c>
      <c r="R61" s="5">
        <v>31.30581456</v>
      </c>
      <c r="S61" s="5">
        <v>44.11345646</v>
      </c>
      <c r="T61" s="5">
        <v>43.73557944</v>
      </c>
      <c r="U61" s="5">
        <v>43.36242835</v>
      </c>
      <c r="W61" s="2" t="str">
        <f>IF('расчет'!R30&lt;50000,50000,'расчет'!R30)</f>
        <v>134527.6688</v>
      </c>
      <c r="X61" s="2" t="str">
        <f t="shared" si="28"/>
        <v>125000</v>
      </c>
      <c r="Y61" s="2" t="str">
        <f t="shared" si="29"/>
        <v>150000</v>
      </c>
      <c r="Z61" s="2" t="str">
        <f t="shared" si="30"/>
        <v>0.6188932465</v>
      </c>
      <c r="AA61" s="2" t="str">
        <f t="shared" si="31"/>
        <v>0.3811067535</v>
      </c>
      <c r="AB61" s="2" t="str">
        <f>'расчет'!P30</f>
        <v>10.90349584</v>
      </c>
      <c r="AC61" s="2" t="str">
        <f t="shared" ref="AC61:AD61" si="46">AC60</f>
        <v>2</v>
      </c>
      <c r="AD61" s="2" t="str">
        <f t="shared" si="46"/>
        <v>25</v>
      </c>
      <c r="AE61" s="2" t="str">
        <f t="shared" si="33"/>
        <v>10.5</v>
      </c>
      <c r="AF61" s="2" t="str">
        <f t="shared" si="34"/>
        <v>11</v>
      </c>
      <c r="AG61" s="2" t="str">
        <f t="shared" si="35"/>
        <v>0.1930083163</v>
      </c>
      <c r="AH61" s="2" t="str">
        <f t="shared" si="36"/>
        <v>0.8069916837</v>
      </c>
      <c r="AI61" s="2" t="str">
        <f>VLOOKUP(AE61,B54:U100,(X61/25000),FALSE)</f>
        <v>6.935618232</v>
      </c>
      <c r="AJ61" s="2" t="str">
        <f>VLOOKUP(AF61,B54:U100,(X61/25000),FALSE)</f>
        <v>7.360129388</v>
      </c>
      <c r="AK61" s="2" t="str">
        <f>VLOOKUP(AE61,B54:U100,(Y61/25000),FALSE)</f>
        <v>8.906704951</v>
      </c>
      <c r="AL61" s="2" t="str">
        <f>VLOOKUP(AF61,B54:U100,(Y61/25000),FALSE)</f>
        <v>9.223743105</v>
      </c>
      <c r="AM61" s="2" t="str">
        <f t="shared" si="37"/>
        <v>7.278195205</v>
      </c>
      <c r="AN61" s="2" t="str">
        <f t="shared" si="38"/>
        <v>9.162552105</v>
      </c>
      <c r="AO61" s="2" t="str">
        <f t="shared" si="39"/>
        <v>7.996336345</v>
      </c>
    </row>
    <row r="62" ht="12.75" customHeight="1">
      <c r="B62" s="4">
        <v>6.0</v>
      </c>
      <c r="C62" s="4">
        <v>3.396331683</v>
      </c>
      <c r="D62" s="5">
        <v>4.004900245</v>
      </c>
      <c r="E62" s="5">
        <v>4.216771</v>
      </c>
      <c r="F62" s="5">
        <v>4.89416221</v>
      </c>
      <c r="G62" s="5">
        <v>5.59969674</v>
      </c>
      <c r="H62" s="5">
        <v>8.65106307</v>
      </c>
      <c r="I62" s="5">
        <v>10.07437051</v>
      </c>
      <c r="J62" s="5">
        <v>10.91384011</v>
      </c>
      <c r="K62" s="5">
        <v>11.8602253</v>
      </c>
      <c r="L62" s="5">
        <v>14.0266512</v>
      </c>
      <c r="M62" s="5">
        <v>16.61700577</v>
      </c>
      <c r="N62" s="5">
        <v>19.76921613</v>
      </c>
      <c r="O62" s="5">
        <v>23.68832143</v>
      </c>
      <c r="P62" s="5">
        <v>24.31251132</v>
      </c>
      <c r="Q62" s="5">
        <v>24.96660555</v>
      </c>
      <c r="R62" s="5">
        <v>33.24922422</v>
      </c>
      <c r="S62" s="5">
        <v>45.79970896</v>
      </c>
      <c r="T62" s="5">
        <v>44.89631224</v>
      </c>
      <c r="U62" s="5">
        <v>44.01806958</v>
      </c>
      <c r="W62" s="2" t="str">
        <f>IF('расчет'!R31&lt;50000,50000,'расчет'!R31)</f>
        <v>128573.0727</v>
      </c>
      <c r="X62" s="2" t="str">
        <f t="shared" si="28"/>
        <v>125000</v>
      </c>
      <c r="Y62" s="2" t="str">
        <f t="shared" si="29"/>
        <v>150000</v>
      </c>
      <c r="Z62" s="2" t="str">
        <f t="shared" si="30"/>
        <v>0.8570770934</v>
      </c>
      <c r="AA62" s="2" t="str">
        <f t="shared" si="31"/>
        <v>0.1429229066</v>
      </c>
      <c r="AB62" s="2" t="str">
        <f>'расчет'!P31</f>
        <v>11.24863784</v>
      </c>
      <c r="AC62" s="2" t="str">
        <f t="shared" ref="AC62:AD62" si="47">AC61</f>
        <v>2</v>
      </c>
      <c r="AD62" s="2" t="str">
        <f t="shared" si="47"/>
        <v>25</v>
      </c>
      <c r="AE62" s="2" t="str">
        <f t="shared" si="33"/>
        <v>11</v>
      </c>
      <c r="AF62" s="2" t="str">
        <f t="shared" si="34"/>
        <v>11.5</v>
      </c>
      <c r="AG62" s="2" t="str">
        <f t="shared" si="35"/>
        <v>0.5027243149</v>
      </c>
      <c r="AH62" s="2" t="str">
        <f t="shared" si="36"/>
        <v>0.4972756851</v>
      </c>
      <c r="AI62" s="2" t="str">
        <f>VLOOKUP(AE62,B54:U100,(X62/25000),FALSE)</f>
        <v>7.360129388</v>
      </c>
      <c r="AJ62" s="2" t="str">
        <f>VLOOKUP(AF62,B54:U100,(X62/25000),FALSE)</f>
        <v>7.832697317</v>
      </c>
      <c r="AK62" s="2" t="str">
        <f>VLOOKUP(AE62,B54:U100,(Y62/25000),FALSE)</f>
        <v>9.223743105</v>
      </c>
      <c r="AL62" s="2" t="str">
        <f>VLOOKUP(AF62,B54:U100,(Y62/25000),FALSE)</f>
        <v>9.540101246</v>
      </c>
      <c r="AM62" s="2" t="str">
        <f t="shared" si="37"/>
        <v>7.595125929</v>
      </c>
      <c r="AN62" s="2" t="str">
        <f t="shared" si="38"/>
        <v>9.381060316</v>
      </c>
      <c r="AO62" s="2" t="str">
        <f t="shared" si="39"/>
        <v>7.850376862</v>
      </c>
    </row>
    <row r="63" ht="12.75" customHeight="1">
      <c r="B63" s="4">
        <v>6.5</v>
      </c>
      <c r="C63" s="4">
        <v>3.947281496</v>
      </c>
      <c r="D63" s="5">
        <v>4.40997651</v>
      </c>
      <c r="E63" s="5">
        <v>4.755205002</v>
      </c>
      <c r="F63" s="5">
        <v>5.377030162</v>
      </c>
      <c r="G63" s="5">
        <v>7.050252121</v>
      </c>
      <c r="H63" s="5">
        <v>9.075563877</v>
      </c>
      <c r="I63" s="5">
        <v>10.68939311</v>
      </c>
      <c r="J63" s="5">
        <v>11.65881122</v>
      </c>
      <c r="K63" s="5">
        <v>12.76774841</v>
      </c>
      <c r="L63" s="5">
        <v>15.11271056</v>
      </c>
      <c r="M63" s="5">
        <v>17.93991424</v>
      </c>
      <c r="N63" s="5">
        <v>21.41516818</v>
      </c>
      <c r="O63" s="5">
        <v>25.79013391</v>
      </c>
      <c r="P63" s="5">
        <v>26.38313824</v>
      </c>
      <c r="Q63" s="5">
        <v>27.00136368</v>
      </c>
      <c r="R63" s="5">
        <v>35.25325837</v>
      </c>
      <c r="S63" s="5">
        <v>47.49535686</v>
      </c>
      <c r="T63" s="5">
        <v>46.04522157</v>
      </c>
      <c r="U63" s="5">
        <v>44.65714286</v>
      </c>
      <c r="W63" s="2" t="str">
        <f>IF('расчет'!R32&lt;50000,50000,'расчет'!R32)</f>
        <v>121825.3118</v>
      </c>
      <c r="X63" s="2" t="str">
        <f t="shared" si="28"/>
        <v>100000</v>
      </c>
      <c r="Y63" s="2" t="str">
        <f t="shared" si="29"/>
        <v>125000</v>
      </c>
      <c r="Z63" s="2" t="str">
        <f t="shared" si="30"/>
        <v>0.1269875283</v>
      </c>
      <c r="AA63" s="2" t="str">
        <f t="shared" si="31"/>
        <v>0.8730124717</v>
      </c>
      <c r="AB63" s="2" t="str">
        <f>'расчет'!P32</f>
        <v>11.66229685</v>
      </c>
      <c r="AC63" s="2" t="str">
        <f t="shared" ref="AC63:AD63" si="48">AC62</f>
        <v>2</v>
      </c>
      <c r="AD63" s="2" t="str">
        <f t="shared" si="48"/>
        <v>25</v>
      </c>
      <c r="AE63" s="2" t="str">
        <f t="shared" si="33"/>
        <v>11.5</v>
      </c>
      <c r="AF63" s="2" t="str">
        <f t="shared" si="34"/>
        <v>12</v>
      </c>
      <c r="AG63" s="2" t="str">
        <f t="shared" si="35"/>
        <v>0.6754062992</v>
      </c>
      <c r="AH63" s="2" t="str">
        <f t="shared" si="36"/>
        <v>0.3245937008</v>
      </c>
      <c r="AI63" s="2" t="str">
        <f>VLOOKUP(AE63,B54:U100,(X63/25000),FALSE)</f>
        <v>6.948187566</v>
      </c>
      <c r="AJ63" s="2" t="str">
        <f>VLOOKUP(AF63,B54:U100,(X63/25000),FALSE)</f>
        <v>7.093061505</v>
      </c>
      <c r="AK63" s="2" t="str">
        <f>VLOOKUP(AE63,B54:U100,(Y63/25000),FALSE)</f>
        <v>7.832697317</v>
      </c>
      <c r="AL63" s="2" t="str">
        <f>VLOOKUP(AF63,B54:U100,(Y63/25000),FALSE)</f>
        <v>8.135490883</v>
      </c>
      <c r="AM63" s="2" t="str">
        <f t="shared" si="37"/>
        <v>6.995212734</v>
      </c>
      <c r="AN63" s="2" t="str">
        <f t="shared" si="38"/>
        <v>7.930982201</v>
      </c>
      <c r="AO63" s="2" t="str">
        <f t="shared" si="39"/>
        <v>7.81215115</v>
      </c>
    </row>
    <row r="64" ht="12.75" customHeight="1">
      <c r="B64" s="4">
        <v>7.0</v>
      </c>
      <c r="C64" s="4">
        <v>4.229979466</v>
      </c>
      <c r="D64" s="5">
        <v>4.866414701</v>
      </c>
      <c r="E64" s="5">
        <v>5.340264004</v>
      </c>
      <c r="F64" s="5">
        <v>5.631920849</v>
      </c>
      <c r="G64" s="5">
        <v>7.364002003</v>
      </c>
      <c r="H64" s="5">
        <v>9.485395584</v>
      </c>
      <c r="I64" s="5">
        <v>11.29677892</v>
      </c>
      <c r="J64" s="5">
        <v>12.40461899</v>
      </c>
      <c r="K64" s="5">
        <v>13.69055421</v>
      </c>
      <c r="L64" s="5">
        <v>16.22551089</v>
      </c>
      <c r="M64" s="5">
        <v>19.30791352</v>
      </c>
      <c r="N64" s="5">
        <v>23.13656756</v>
      </c>
      <c r="O64" s="5">
        <v>28.0197976</v>
      </c>
      <c r="P64" s="5">
        <v>28.56837559</v>
      </c>
      <c r="Q64" s="5">
        <v>29.13718842</v>
      </c>
      <c r="R64" s="5">
        <v>36.09992578</v>
      </c>
      <c r="S64" s="5">
        <v>45.65442656</v>
      </c>
      <c r="T64" s="5">
        <v>45.46708316</v>
      </c>
      <c r="U64" s="5">
        <v>45.28026836</v>
      </c>
      <c r="W64" s="2" t="str">
        <f>IF('расчет'!R33&lt;50000,50000,'расчет'!R33)</f>
        <v>114215.2829</v>
      </c>
      <c r="X64" s="2" t="str">
        <f t="shared" si="28"/>
        <v>100000</v>
      </c>
      <c r="Y64" s="2" t="str">
        <f t="shared" si="29"/>
        <v>125000</v>
      </c>
      <c r="Z64" s="2" t="str">
        <f t="shared" si="30"/>
        <v>0.4313886844</v>
      </c>
      <c r="AA64" s="2" t="str">
        <f t="shared" si="31"/>
        <v>0.5686113156</v>
      </c>
      <c r="AB64" s="2" t="str">
        <f>'расчет'!P33</f>
        <v>12.20946957</v>
      </c>
      <c r="AC64" s="2" t="str">
        <f t="shared" ref="AC64:AD64" si="49">AC63</f>
        <v>2</v>
      </c>
      <c r="AD64" s="2" t="str">
        <f t="shared" si="49"/>
        <v>25</v>
      </c>
      <c r="AE64" s="2" t="str">
        <f t="shared" si="33"/>
        <v>12</v>
      </c>
      <c r="AF64" s="2" t="str">
        <f t="shared" si="34"/>
        <v>12.5</v>
      </c>
      <c r="AG64" s="2" t="str">
        <f t="shared" si="35"/>
        <v>0.5810608514</v>
      </c>
      <c r="AH64" s="2" t="str">
        <f t="shared" si="36"/>
        <v>0.4189391486</v>
      </c>
      <c r="AI64" s="2" t="str">
        <f>VLOOKUP(AE64,B54:U100,(X64/25000),FALSE)</f>
        <v>7.093061505</v>
      </c>
      <c r="AJ64" s="2" t="str">
        <f>VLOOKUP(AF64,B54:U100,(X64/25000),FALSE)</f>
        <v>7.23478991</v>
      </c>
      <c r="AK64" s="2" t="str">
        <f>VLOOKUP(AE64,B54:U100,(Y64/25000),FALSE)</f>
        <v>8.135490883</v>
      </c>
      <c r="AL64" s="2" t="str">
        <f>VLOOKUP(AF64,B54:U100,(Y64/25000),FALSE)</f>
        <v>8.430117425</v>
      </c>
      <c r="AM64" s="2" t="str">
        <f t="shared" si="37"/>
        <v>7.152437082</v>
      </c>
      <c r="AN64" s="2" t="str">
        <f t="shared" si="38"/>
        <v>8.258921476</v>
      </c>
      <c r="AO64" s="2" t="str">
        <f t="shared" si="39"/>
        <v>7.781596629</v>
      </c>
    </row>
    <row r="65" ht="12.75" customHeight="1">
      <c r="B65" s="4">
        <v>7.5</v>
      </c>
      <c r="C65" s="4">
        <v>4.579111458</v>
      </c>
      <c r="D65" s="5">
        <v>5.032879442</v>
      </c>
      <c r="E65" s="5">
        <v>5.383627391</v>
      </c>
      <c r="F65" s="5">
        <v>5.872548684</v>
      </c>
      <c r="G65" s="5">
        <v>7.663277093</v>
      </c>
      <c r="H65" s="5">
        <v>9.881305638</v>
      </c>
      <c r="I65" s="5">
        <v>11.89666929</v>
      </c>
      <c r="J65" s="5">
        <v>13.15126486</v>
      </c>
      <c r="K65" s="5">
        <v>14.62903203</v>
      </c>
      <c r="L65" s="5">
        <v>17.36605212</v>
      </c>
      <c r="M65" s="5">
        <v>20.72334895</v>
      </c>
      <c r="N65" s="5">
        <v>24.93872349</v>
      </c>
      <c r="O65" s="5">
        <v>30.38934403</v>
      </c>
      <c r="P65" s="5">
        <v>30.87800984</v>
      </c>
      <c r="Q65" s="5">
        <v>31.38180152</v>
      </c>
      <c r="R65" s="5">
        <v>36.93385332</v>
      </c>
      <c r="S65" s="5">
        <v>43.99569687</v>
      </c>
      <c r="T65" s="5">
        <v>44.92506083</v>
      </c>
      <c r="U65" s="5">
        <v>45.88803567</v>
      </c>
      <c r="W65" s="2" t="str">
        <f>IF('расчет'!R34&lt;50000,50000,'расчет'!R34)</f>
        <v>105683.6102</v>
      </c>
      <c r="X65" s="2" t="str">
        <f t="shared" si="28"/>
        <v>100000</v>
      </c>
      <c r="Y65" s="2" t="str">
        <f t="shared" si="29"/>
        <v>125000</v>
      </c>
      <c r="Z65" s="2" t="str">
        <f t="shared" si="30"/>
        <v>0.7726555915</v>
      </c>
      <c r="AA65" s="2" t="str">
        <f t="shared" si="31"/>
        <v>0.2273444085</v>
      </c>
      <c r="AB65" s="2" t="str">
        <f>'расчет'!P34</f>
        <v>12.98450331</v>
      </c>
      <c r="AC65" s="2" t="str">
        <f t="shared" ref="AC65:AD65" si="50">AC64</f>
        <v>2</v>
      </c>
      <c r="AD65" s="2" t="str">
        <f t="shared" si="50"/>
        <v>25</v>
      </c>
      <c r="AE65" s="2" t="str">
        <f t="shared" si="33"/>
        <v>12.5</v>
      </c>
      <c r="AF65" s="2" t="str">
        <f t="shared" si="34"/>
        <v>13</v>
      </c>
      <c r="AG65" s="2" t="str">
        <f t="shared" si="35"/>
        <v>0.03099337527</v>
      </c>
      <c r="AH65" s="2" t="str">
        <f t="shared" si="36"/>
        <v>0.9690066247</v>
      </c>
      <c r="AI65" s="2" t="str">
        <f>VLOOKUP(AE65,B54:U100,(X65/25000),FALSE)</f>
        <v>7.23478991</v>
      </c>
      <c r="AJ65" s="2" t="str">
        <f>VLOOKUP(AF65,B54:U100,(X65/25000),FALSE)</f>
        <v>7.373474127</v>
      </c>
      <c r="AK65" s="2" t="str">
        <f>VLOOKUP(AE65,B54:U100,(Y65/25000),FALSE)</f>
        <v>8.430117425</v>
      </c>
      <c r="AL65" s="2" t="str">
        <f>VLOOKUP(AF65,B54:U100,(Y65/25000),FALSE)</f>
        <v>8.727018974</v>
      </c>
      <c r="AM65" s="2" t="str">
        <f t="shared" si="37"/>
        <v>7.369175835</v>
      </c>
      <c r="AN65" s="2" t="str">
        <f t="shared" si="38"/>
        <v>8.717816993</v>
      </c>
      <c r="AO65" s="2" t="str">
        <f t="shared" si="39"/>
        <v>7.675781861</v>
      </c>
    </row>
    <row r="66" ht="12.75" customHeight="1">
      <c r="B66" s="4">
        <v>8.0</v>
      </c>
      <c r="C66" s="4">
        <v>4.902977789</v>
      </c>
      <c r="D66" s="5">
        <v>5.391831525</v>
      </c>
      <c r="E66" s="5">
        <v>5.770238407</v>
      </c>
      <c r="F66" s="5">
        <v>6.100078238</v>
      </c>
      <c r="G66" s="5">
        <v>7.646887434</v>
      </c>
      <c r="H66" s="5">
        <v>10.19083982</v>
      </c>
      <c r="I66" s="5">
        <v>12.46135976</v>
      </c>
      <c r="J66" s="5">
        <v>13.88862517</v>
      </c>
      <c r="K66" s="5">
        <v>15.58358451</v>
      </c>
      <c r="L66" s="5">
        <v>18.53538466</v>
      </c>
      <c r="M66" s="5">
        <v>22.18873136</v>
      </c>
      <c r="N66" s="5">
        <v>26.82745531</v>
      </c>
      <c r="O66" s="5">
        <v>32.91236325</v>
      </c>
      <c r="P66" s="5">
        <v>33.32297434</v>
      </c>
      <c r="Q66" s="5">
        <v>33.74373192</v>
      </c>
      <c r="R66" s="5">
        <v>37.75532637</v>
      </c>
      <c r="S66" s="5">
        <v>42.49339408</v>
      </c>
      <c r="T66" s="5">
        <v>44.35463334</v>
      </c>
      <c r="U66" s="5">
        <v>46.3514174</v>
      </c>
      <c r="W66" s="2" t="str">
        <f>IF('расчет'!R35&lt;50000,50000,'расчет'!R35)</f>
        <v>96182.02339</v>
      </c>
      <c r="X66" s="2" t="str">
        <f t="shared" si="28"/>
        <v>75000</v>
      </c>
      <c r="Y66" s="2" t="str">
        <f t="shared" si="29"/>
        <v>100000</v>
      </c>
      <c r="Z66" s="2" t="str">
        <f t="shared" si="30"/>
        <v>0.1527190645</v>
      </c>
      <c r="AA66" s="2" t="str">
        <f t="shared" si="31"/>
        <v>0.8472809355</v>
      </c>
      <c r="AB66" s="2" t="str">
        <f>'расчет'!P35</f>
        <v>14.12833628</v>
      </c>
      <c r="AC66" s="2" t="str">
        <f t="shared" ref="AC66:AD66" si="51">AC65</f>
        <v>2</v>
      </c>
      <c r="AD66" s="2" t="str">
        <f t="shared" si="51"/>
        <v>25</v>
      </c>
      <c r="AE66" s="2" t="str">
        <f t="shared" si="33"/>
        <v>14</v>
      </c>
      <c r="AF66" s="2" t="str">
        <f t="shared" si="34"/>
        <v>14.5</v>
      </c>
      <c r="AG66" s="2" t="str">
        <f t="shared" si="35"/>
        <v>0.7433274325</v>
      </c>
      <c r="AH66" s="2" t="str">
        <f t="shared" si="36"/>
        <v>0.2566725675</v>
      </c>
      <c r="AI66" s="2" t="str">
        <f>VLOOKUP(AE66,B54:U100,(X66/25000),FALSE)</f>
        <v>6.67913611</v>
      </c>
      <c r="AJ66" s="2" t="str">
        <f>VLOOKUP(AF66,B54:U100,(X66/25000),FALSE)</f>
        <v>6.775011655</v>
      </c>
      <c r="AK66" s="2" t="str">
        <f>VLOOKUP(AE66,B54:U100,(Y66/25000),FALSE)</f>
        <v>7.642094064</v>
      </c>
      <c r="AL66" s="2" t="str">
        <f>VLOOKUP(AF66,B54:U100,(Y66/25000),FALSE)</f>
        <v>7.772211828</v>
      </c>
      <c r="AM66" s="2" t="str">
        <f t="shared" si="37"/>
        <v>6.703744732</v>
      </c>
      <c r="AN66" s="2" t="str">
        <f t="shared" si="38"/>
        <v>7.675491725</v>
      </c>
      <c r="AO66" s="2" t="str">
        <f t="shared" si="39"/>
        <v>7.527087433</v>
      </c>
    </row>
    <row r="67" ht="12.75" customHeight="1">
      <c r="B67" s="4">
        <v>8.5</v>
      </c>
      <c r="C67" s="4">
        <v>5.087483176</v>
      </c>
      <c r="D67" s="5">
        <v>5.590727515</v>
      </c>
      <c r="E67" s="5">
        <v>6.130203443</v>
      </c>
      <c r="F67" s="5">
        <v>6.315550658</v>
      </c>
      <c r="G67" s="5">
        <v>7.631708173</v>
      </c>
      <c r="H67" s="5">
        <v>10.49691046</v>
      </c>
      <c r="I67" s="5">
        <v>13.02644384</v>
      </c>
      <c r="J67" s="5">
        <v>14.63206283</v>
      </c>
      <c r="K67" s="5">
        <v>16.55462824</v>
      </c>
      <c r="L67" s="5">
        <v>19.73461266</v>
      </c>
      <c r="M67" s="5">
        <v>23.70675199</v>
      </c>
      <c r="N67" s="5">
        <v>28.80915525</v>
      </c>
      <c r="O67" s="5">
        <v>35.60426468</v>
      </c>
      <c r="P67" s="5">
        <v>35.91552233</v>
      </c>
      <c r="Q67" s="5">
        <v>36.232424</v>
      </c>
      <c r="R67" s="5">
        <v>38.56462188</v>
      </c>
      <c r="S67" s="5">
        <v>41.12638677</v>
      </c>
      <c r="T67" s="5">
        <v>41.991806</v>
      </c>
      <c r="U67" s="5">
        <v>42.88903924</v>
      </c>
      <c r="W67" s="2" t="str">
        <f>IF('расчет'!R36&lt;50000,50000,'расчет'!R36)</f>
        <v>85674.39578</v>
      </c>
      <c r="X67" s="2" t="str">
        <f t="shared" si="28"/>
        <v>75000</v>
      </c>
      <c r="Y67" s="2" t="str">
        <f t="shared" si="29"/>
        <v>100000</v>
      </c>
      <c r="Z67" s="2" t="str">
        <f t="shared" si="30"/>
        <v>0.5730241689</v>
      </c>
      <c r="AA67" s="2" t="str">
        <f t="shared" si="31"/>
        <v>0.4269758311</v>
      </c>
      <c r="AB67" s="2" t="str">
        <f>'расчет'!P36</f>
        <v>15.85841006</v>
      </c>
      <c r="AC67" s="2" t="str">
        <f t="shared" ref="AC67:AD67" si="52">AC66</f>
        <v>2</v>
      </c>
      <c r="AD67" s="2" t="str">
        <f t="shared" si="52"/>
        <v>25</v>
      </c>
      <c r="AE67" s="2" t="str">
        <f t="shared" si="33"/>
        <v>15.5</v>
      </c>
      <c r="AF67" s="2" t="str">
        <f t="shared" si="34"/>
        <v>16</v>
      </c>
      <c r="AG67" s="2" t="str">
        <f t="shared" si="35"/>
        <v>0.2831798876</v>
      </c>
      <c r="AH67" s="2" t="str">
        <f t="shared" si="36"/>
        <v>0.7168201124</v>
      </c>
      <c r="AI67" s="2" t="str">
        <f>VLOOKUP(AE67,B54:U100,(X67/25000),FALSE)</f>
        <v>6.959036028</v>
      </c>
      <c r="AJ67" s="2" t="str">
        <f>VLOOKUP(AF67,B54:U100,(X67/25000),FALSE)</f>
        <v>7.167689471</v>
      </c>
      <c r="AK67" s="2" t="str">
        <f>VLOOKUP(AE67,B54:U100,(Y67/25000),FALSE)</f>
        <v>8.024490225</v>
      </c>
      <c r="AL67" s="2" t="str">
        <f>VLOOKUP(AF67,B54:U100,(Y67/25000),FALSE)</f>
        <v>8.590934436</v>
      </c>
      <c r="AM67" s="2" t="str">
        <f t="shared" si="37"/>
        <v>7.108603012</v>
      </c>
      <c r="AN67" s="2" t="str">
        <f t="shared" si="38"/>
        <v>8.430528828</v>
      </c>
      <c r="AO67" s="2" t="str">
        <f t="shared" si="39"/>
        <v>7.673033386</v>
      </c>
    </row>
    <row r="68" ht="12.75" customHeight="1">
      <c r="B68" s="4">
        <v>9.0</v>
      </c>
      <c r="C68" s="4">
        <v>5.291656706</v>
      </c>
      <c r="D68" s="5">
        <v>5.7499848</v>
      </c>
      <c r="E68" s="5">
        <v>6.131966728</v>
      </c>
      <c r="F68" s="5">
        <v>6.533350371</v>
      </c>
      <c r="G68" s="5">
        <v>7.951488419</v>
      </c>
      <c r="H68" s="5">
        <v>10.79957535</v>
      </c>
      <c r="I68" s="5">
        <v>13.59192193</v>
      </c>
      <c r="J68" s="5">
        <v>15.38165329</v>
      </c>
      <c r="K68" s="5">
        <v>17.54259429</v>
      </c>
      <c r="L68" s="5">
        <v>20.96489742</v>
      </c>
      <c r="M68" s="5">
        <v>25.28029895</v>
      </c>
      <c r="N68" s="5">
        <v>30.89086069</v>
      </c>
      <c r="O68" s="5">
        <v>38.48259207</v>
      </c>
      <c r="P68" s="5">
        <v>38.66943236</v>
      </c>
      <c r="Q68" s="5">
        <v>38.85836386</v>
      </c>
      <c r="R68" s="5">
        <v>39.36200864</v>
      </c>
      <c r="S68" s="5">
        <v>39.87718568</v>
      </c>
      <c r="T68" s="5">
        <v>40.40429564</v>
      </c>
      <c r="U68" s="5">
        <v>40.94375799</v>
      </c>
      <c r="W68" s="2" t="str">
        <f>IF('расчет'!R37&lt;50000,50000,'расчет'!R37)</f>
        <v>74137.3012</v>
      </c>
      <c r="X68" s="2" t="str">
        <f t="shared" si="28"/>
        <v>50000</v>
      </c>
      <c r="Y68" s="2" t="str">
        <f t="shared" si="29"/>
        <v>75000</v>
      </c>
      <c r="Z68" s="2" t="str">
        <f t="shared" si="30"/>
        <v>0.03450795217</v>
      </c>
      <c r="AA68" s="2" t="str">
        <f t="shared" si="31"/>
        <v>0.9654920478</v>
      </c>
      <c r="AB68" s="2" t="str">
        <f>'расчет'!P37</f>
        <v>18.5217332</v>
      </c>
      <c r="AC68" s="2" t="str">
        <f t="shared" ref="AC68:AD68" si="53">AC67</f>
        <v>2</v>
      </c>
      <c r="AD68" s="2" t="str">
        <f t="shared" si="53"/>
        <v>25</v>
      </c>
      <c r="AE68" s="2" t="str">
        <f t="shared" si="33"/>
        <v>18.5</v>
      </c>
      <c r="AF68" s="2" t="str">
        <f t="shared" si="34"/>
        <v>19</v>
      </c>
      <c r="AG68" s="2" t="str">
        <f t="shared" si="35"/>
        <v>0.9565335919</v>
      </c>
      <c r="AH68" s="2" t="str">
        <f t="shared" si="36"/>
        <v>0.0434664081</v>
      </c>
      <c r="AI68" s="2" t="str">
        <f>VLOOKUP(AE68,B54:U100,(X68/25000),FALSE)</f>
        <v>7.392410921</v>
      </c>
      <c r="AJ68" s="2" t="str">
        <f>VLOOKUP(AF68,B54:U100,(X68/25000),FALSE)</f>
        <v>9.543696829</v>
      </c>
      <c r="AK68" s="2" t="str">
        <f>VLOOKUP(AE68,B54:U100,(Y68/25000),FALSE)</f>
        <v>9.647998201</v>
      </c>
      <c r="AL68" s="2" t="str">
        <f>VLOOKUP(AF68,B54:U100,(Y68/25000),FALSE)</f>
        <v>9.663781067</v>
      </c>
      <c r="AM68" s="2" t="str">
        <f t="shared" si="37"/>
        <v>7.485919592</v>
      </c>
      <c r="AN68" s="2" t="str">
        <f t="shared" si="38"/>
        <v>9.648684225</v>
      </c>
      <c r="AO68" s="2" t="str">
        <f t="shared" si="39"/>
        <v>9.574051647</v>
      </c>
    </row>
    <row r="69" ht="12.75" customHeight="1">
      <c r="B69" s="4">
        <v>9.5</v>
      </c>
      <c r="C69" s="4">
        <v>5.405946366</v>
      </c>
      <c r="D69" s="5">
        <v>5.920951876</v>
      </c>
      <c r="E69" s="5">
        <v>6.368219277</v>
      </c>
      <c r="F69" s="5">
        <v>6.838390093</v>
      </c>
      <c r="G69" s="5">
        <v>8.270579817</v>
      </c>
      <c r="H69" s="5">
        <v>11.09889103</v>
      </c>
      <c r="I69" s="5">
        <v>14.15779446</v>
      </c>
      <c r="J69" s="5">
        <v>16.13747324</v>
      </c>
      <c r="K69" s="5">
        <v>18.54792891</v>
      </c>
      <c r="L69" s="5">
        <v>21.36740292</v>
      </c>
      <c r="M69" s="5">
        <v>24.76481921</v>
      </c>
      <c r="N69" s="5">
        <v>28.93817238</v>
      </c>
      <c r="O69" s="5">
        <v>34.18755636</v>
      </c>
      <c r="P69" s="5">
        <v>36.77012702</v>
      </c>
      <c r="Q69" s="5">
        <v>39.6772229</v>
      </c>
      <c r="R69" s="5">
        <v>39.14346034</v>
      </c>
      <c r="S69" s="5">
        <v>38.61979685</v>
      </c>
      <c r="T69" s="5">
        <v>38.90927318</v>
      </c>
      <c r="U69" s="5">
        <v>39.20266451</v>
      </c>
      <c r="W69" s="2" t="str">
        <f>IF('расчет'!R38&lt;50000,50000,'расчет'!R38)</f>
        <v>61560.12526</v>
      </c>
      <c r="X69" s="2" t="str">
        <f t="shared" si="28"/>
        <v>50000</v>
      </c>
      <c r="Y69" s="2" t="str">
        <f t="shared" si="29"/>
        <v>75000</v>
      </c>
      <c r="Z69" s="2" t="str">
        <f t="shared" si="30"/>
        <v>0.5375949897</v>
      </c>
      <c r="AA69" s="2" t="str">
        <f t="shared" si="31"/>
        <v>0.4624050103</v>
      </c>
      <c r="AB69" s="2" t="str">
        <f>'расчет'!P38</f>
        <v>22.68814529</v>
      </c>
      <c r="AC69" s="2" t="str">
        <f t="shared" ref="AC69:AD69" si="54">AC68</f>
        <v>2</v>
      </c>
      <c r="AD69" s="2" t="str">
        <f t="shared" si="54"/>
        <v>25</v>
      </c>
      <c r="AE69" s="2" t="str">
        <f t="shared" si="33"/>
        <v>22.5</v>
      </c>
      <c r="AF69" s="2" t="str">
        <f t="shared" si="34"/>
        <v>23</v>
      </c>
      <c r="AG69" s="2" t="str">
        <f t="shared" si="35"/>
        <v>0.6237094224</v>
      </c>
      <c r="AH69" s="2" t="str">
        <f t="shared" si="36"/>
        <v>0.3762905776</v>
      </c>
      <c r="AI69" s="2" t="str">
        <f>VLOOKUP(AE69,B54:U100,(X69/25000),FALSE)</f>
        <v>9.719083813</v>
      </c>
      <c r="AJ69" s="2" t="str">
        <f>VLOOKUP(AF69,B54:U100,(X69/25000),FALSE)</f>
        <v>9.00411722</v>
      </c>
      <c r="AK69" s="2" t="str">
        <f>VLOOKUP(AE69,B54:U100,(Y69/25000),FALSE)</f>
        <v>10.50286338</v>
      </c>
      <c r="AL69" s="2" t="str">
        <f>VLOOKUP(AF69,B54:U100,(Y69/25000),FALSE)</f>
        <v>9.188878906</v>
      </c>
      <c r="AM69" s="2" t="str">
        <f t="shared" si="37"/>
        <v>9.450048621</v>
      </c>
      <c r="AN69" s="2" t="str">
        <f t="shared" si="38"/>
        <v>10.0084234</v>
      </c>
      <c r="AO69" s="2" t="str">
        <f t="shared" si="39"/>
        <v>9.708243918</v>
      </c>
    </row>
    <row r="70" ht="12.75" customHeight="1">
      <c r="B70" s="4">
        <v>10.0</v>
      </c>
      <c r="C70" s="4">
        <v>5.514756088</v>
      </c>
      <c r="D70" s="5">
        <v>5.959030583</v>
      </c>
      <c r="E70" s="5">
        <v>6.320640454</v>
      </c>
      <c r="F70" s="5">
        <v>6.69995763</v>
      </c>
      <c r="G70" s="5">
        <v>8.58898459</v>
      </c>
      <c r="H70" s="5">
        <v>11.39491279</v>
      </c>
      <c r="I70" s="5">
        <v>14.72406184</v>
      </c>
      <c r="J70" s="5">
        <v>16.89960067</v>
      </c>
      <c r="K70" s="5">
        <v>19.57109417</v>
      </c>
      <c r="L70" s="5">
        <v>24.15258949</v>
      </c>
      <c r="M70" s="5">
        <v>30.27092017</v>
      </c>
      <c r="N70" s="5">
        <v>32.42826915</v>
      </c>
      <c r="O70" s="5">
        <v>34.84131253</v>
      </c>
      <c r="P70" s="5">
        <v>35.41162558</v>
      </c>
      <c r="Q70" s="5">
        <v>35.99889217</v>
      </c>
      <c r="R70" s="5">
        <v>36.37812151</v>
      </c>
      <c r="S70" s="5">
        <v>36.76448457</v>
      </c>
      <c r="T70" s="5">
        <v>36.74917647</v>
      </c>
      <c r="U70" s="5">
        <v>36.73384818</v>
      </c>
    </row>
    <row r="71" ht="12.75" customHeight="1">
      <c r="B71" s="4">
        <v>10.5</v>
      </c>
      <c r="C71" s="4">
        <v>5.618470771</v>
      </c>
      <c r="D71" s="5">
        <v>6.073295455</v>
      </c>
      <c r="E71" s="5">
        <v>6.494506772</v>
      </c>
      <c r="F71" s="5">
        <v>6.935618232</v>
      </c>
      <c r="G71" s="5">
        <v>8.906704951</v>
      </c>
      <c r="H71" s="5">
        <v>11.68769471</v>
      </c>
      <c r="I71" s="5">
        <v>15.29072447</v>
      </c>
      <c r="J71" s="5">
        <v>17.66811486</v>
      </c>
      <c r="K71" s="5">
        <v>20.61256869</v>
      </c>
      <c r="L71" s="5">
        <v>23.60989659</v>
      </c>
      <c r="M71" s="5">
        <v>27.20174165</v>
      </c>
      <c r="N71" s="5">
        <v>29.99295775</v>
      </c>
      <c r="O71" s="5">
        <v>33.25806452</v>
      </c>
      <c r="P71" s="5">
        <v>33.51124797</v>
      </c>
      <c r="Q71" s="5">
        <v>33.76831581</v>
      </c>
      <c r="R71" s="5">
        <v>33.99288688</v>
      </c>
      <c r="S71" s="5">
        <v>34.2203597</v>
      </c>
      <c r="T71" s="5">
        <v>33.89173245</v>
      </c>
      <c r="U71" s="5">
        <v>33.56724138</v>
      </c>
    </row>
    <row r="72" ht="12.75" customHeight="1">
      <c r="B72" s="4">
        <v>11.0</v>
      </c>
      <c r="C72" s="4">
        <v>5.667504977</v>
      </c>
      <c r="D72" s="5">
        <v>6.173608833</v>
      </c>
      <c r="E72" s="5">
        <v>6.739739339</v>
      </c>
      <c r="F72" s="5">
        <v>7.360129388</v>
      </c>
      <c r="G72" s="5">
        <v>9.223743105</v>
      </c>
      <c r="H72" s="5">
        <v>11.97728967</v>
      </c>
      <c r="I72" s="5">
        <v>15.85778278</v>
      </c>
      <c r="J72" s="5">
        <v>18.44309643</v>
      </c>
      <c r="K72" s="5">
        <v>21.67284837</v>
      </c>
      <c r="L72" s="5">
        <v>25.51195338</v>
      </c>
      <c r="M72" s="5">
        <v>30.38467504</v>
      </c>
      <c r="N72" s="5">
        <v>30.68174703</v>
      </c>
      <c r="O72" s="5">
        <v>30.98435772</v>
      </c>
      <c r="P72" s="5">
        <v>31.45829998</v>
      </c>
      <c r="Q72" s="5">
        <v>31.94484996</v>
      </c>
      <c r="R72" s="5">
        <v>31.67567568</v>
      </c>
      <c r="S72" s="5">
        <v>31.40930979</v>
      </c>
      <c r="T72" s="5">
        <v>30.62884161</v>
      </c>
      <c r="U72" s="5">
        <v>29.87616099</v>
      </c>
    </row>
    <row r="73" ht="12.75" customHeight="1">
      <c r="B73" s="4">
        <v>11.5</v>
      </c>
      <c r="C73" s="4">
        <v>5.769006931</v>
      </c>
      <c r="D73" s="5">
        <v>6.15647365</v>
      </c>
      <c r="E73" s="5">
        <v>6.948187566</v>
      </c>
      <c r="F73" s="5">
        <v>7.832697317</v>
      </c>
      <c r="G73" s="5">
        <v>9.540101246</v>
      </c>
      <c r="H73" s="5">
        <v>12.26374944</v>
      </c>
      <c r="I73" s="5">
        <v>16.42523717</v>
      </c>
      <c r="J73" s="5">
        <v>19.22462737</v>
      </c>
      <c r="K73" s="5">
        <v>22.75244716</v>
      </c>
      <c r="L73" s="5">
        <v>24.88138906</v>
      </c>
      <c r="M73" s="5">
        <v>27.30942335</v>
      </c>
      <c r="N73" s="5">
        <v>28.26596283</v>
      </c>
      <c r="O73" s="5">
        <v>29.27816639</v>
      </c>
      <c r="P73" s="5">
        <v>29.34467831</v>
      </c>
      <c r="Q73" s="5">
        <v>29.41158856</v>
      </c>
      <c r="R73" s="5">
        <v>28.60465116</v>
      </c>
      <c r="S73" s="5">
        <v>27.82940161</v>
      </c>
      <c r="T73" s="5">
        <v>26.64066852</v>
      </c>
      <c r="U73" s="5">
        <v>25.52510799</v>
      </c>
    </row>
    <row r="74" ht="12.75" customHeight="1">
      <c r="B74" s="4">
        <v>12.0</v>
      </c>
      <c r="C74" s="4">
        <v>5.854685494</v>
      </c>
      <c r="D74" s="5">
        <v>6.267205261</v>
      </c>
      <c r="E74" s="5">
        <v>7.093061505</v>
      </c>
      <c r="F74" s="5">
        <v>8.135490883</v>
      </c>
      <c r="G74" s="5">
        <v>9.855781561</v>
      </c>
      <c r="H74" s="5">
        <v>12.54712466</v>
      </c>
      <c r="I74" s="5">
        <v>16.99308807</v>
      </c>
      <c r="J74" s="5">
        <v>20.01279105</v>
      </c>
      <c r="K74" s="5">
        <v>23.85189795</v>
      </c>
      <c r="L74" s="5">
        <v>25.02779933</v>
      </c>
      <c r="M74" s="5">
        <v>26.29893717</v>
      </c>
      <c r="N74" s="5">
        <v>26.81091058</v>
      </c>
      <c r="O74" s="5">
        <v>27.33981932</v>
      </c>
      <c r="P74" s="5">
        <v>26.8021383</v>
      </c>
      <c r="Q74" s="5">
        <v>26.27906977</v>
      </c>
      <c r="R74" s="5">
        <v>25.05612844</v>
      </c>
      <c r="S74" s="5">
        <v>23.91496341</v>
      </c>
      <c r="T74" s="5">
        <v>22.43213963</v>
      </c>
      <c r="U74" s="5">
        <v>21.07952584</v>
      </c>
    </row>
    <row r="75" ht="12.75" customHeight="1">
      <c r="B75" s="4">
        <v>12.5</v>
      </c>
      <c r="C75" s="4">
        <v>5.837130678</v>
      </c>
      <c r="D75" s="5">
        <v>6.374701467</v>
      </c>
      <c r="E75" s="5">
        <v>7.23478991</v>
      </c>
      <c r="F75" s="5">
        <v>8.430117425</v>
      </c>
      <c r="G75" s="5">
        <v>10.17078623</v>
      </c>
      <c r="H75" s="5">
        <v>12.82746487</v>
      </c>
      <c r="I75" s="5">
        <v>16.61775381</v>
      </c>
      <c r="J75" s="5">
        <v>19.07889915</v>
      </c>
      <c r="K75" s="5">
        <v>22.08424951</v>
      </c>
      <c r="L75" s="5">
        <v>23.51697746</v>
      </c>
      <c r="M75" s="5">
        <v>25.09971874</v>
      </c>
      <c r="N75" s="5">
        <v>24.97608266</v>
      </c>
      <c r="O75" s="5">
        <v>24.85299733</v>
      </c>
      <c r="P75" s="5">
        <v>23.72170276</v>
      </c>
      <c r="Q75" s="5">
        <v>22.66341231</v>
      </c>
      <c r="R75" s="5">
        <v>21.13889675</v>
      </c>
      <c r="S75" s="5">
        <v>19.7585166</v>
      </c>
      <c r="T75" s="5">
        <v>18.41131553</v>
      </c>
      <c r="U75" s="5">
        <v>17.19058318</v>
      </c>
    </row>
    <row r="76" ht="12.75" customHeight="1">
      <c r="B76" s="4">
        <v>13.0</v>
      </c>
      <c r="C76" s="4">
        <v>5.947119179</v>
      </c>
      <c r="D76" s="5">
        <v>6.479102024</v>
      </c>
      <c r="E76" s="5">
        <v>7.373474127</v>
      </c>
      <c r="F76" s="5">
        <v>8.727018974</v>
      </c>
      <c r="G76" s="5">
        <v>10.48511741</v>
      </c>
      <c r="H76" s="5">
        <v>13.10481858</v>
      </c>
      <c r="I76" s="5">
        <v>16.86949326</v>
      </c>
      <c r="J76" s="5">
        <v>19.30780317</v>
      </c>
      <c r="K76" s="5">
        <v>22.27866972</v>
      </c>
      <c r="L76" s="5">
        <v>22.69313617</v>
      </c>
      <c r="M76" s="5">
        <v>23.1204919</v>
      </c>
      <c r="N76" s="5">
        <v>22.25100748</v>
      </c>
      <c r="O76" s="5">
        <v>21.42600696</v>
      </c>
      <c r="P76" s="5">
        <v>19.98239718</v>
      </c>
      <c r="Q76" s="5">
        <v>18.6739882</v>
      </c>
      <c r="R76" s="5">
        <v>17.39868459</v>
      </c>
      <c r="S76" s="5">
        <v>16.24216156</v>
      </c>
      <c r="T76" s="5">
        <v>15.61944519</v>
      </c>
      <c r="U76" s="5">
        <v>15.02886129</v>
      </c>
    </row>
    <row r="77" ht="12.75" customHeight="1">
      <c r="B77" s="4">
        <v>13.5</v>
      </c>
      <c r="C77" s="4">
        <v>5.977947092</v>
      </c>
      <c r="D77" s="5">
        <v>6.580538758</v>
      </c>
      <c r="E77" s="5">
        <v>7.509211193</v>
      </c>
      <c r="F77" s="5">
        <v>9.026221983</v>
      </c>
      <c r="G77" s="5">
        <v>10.79877726</v>
      </c>
      <c r="H77" s="5">
        <v>13.37923326</v>
      </c>
      <c r="I77" s="5">
        <v>14.64948025</v>
      </c>
      <c r="J77" s="5">
        <v>17.42776471</v>
      </c>
      <c r="K77" s="5">
        <v>21.04932249</v>
      </c>
      <c r="L77" s="5">
        <v>20.57881247</v>
      </c>
      <c r="M77" s="5">
        <v>20.12206672</v>
      </c>
      <c r="N77" s="5">
        <v>18.78859262</v>
      </c>
      <c r="O77" s="5">
        <v>17.57584458</v>
      </c>
      <c r="P77" s="5">
        <v>16.81481825</v>
      </c>
      <c r="Q77" s="5">
        <v>16.09877988</v>
      </c>
      <c r="R77" s="5">
        <v>15.27992005</v>
      </c>
      <c r="S77" s="5">
        <v>14.5163728</v>
      </c>
      <c r="T77" s="5">
        <v>14.53846154</v>
      </c>
      <c r="U77" s="5">
        <v>14.56060606</v>
      </c>
    </row>
    <row r="78" ht="12.75" customHeight="1">
      <c r="B78" s="4">
        <v>14.0</v>
      </c>
      <c r="C78" s="4">
        <v>6.002541057</v>
      </c>
      <c r="D78" s="5">
        <v>6.67913611</v>
      </c>
      <c r="E78" s="5">
        <v>7.642094064</v>
      </c>
      <c r="F78" s="5">
        <v>9.327753314</v>
      </c>
      <c r="G78" s="5">
        <v>11.11176794</v>
      </c>
      <c r="H78" s="5">
        <v>13.65075537</v>
      </c>
      <c r="I78" s="5">
        <v>17.88288714</v>
      </c>
      <c r="J78" s="5">
        <v>18.5262083</v>
      </c>
      <c r="K78" s="5">
        <v>19.2066033</v>
      </c>
      <c r="L78" s="5">
        <v>17.91331269</v>
      </c>
      <c r="M78" s="5">
        <v>16.73818182</v>
      </c>
      <c r="N78" s="5">
        <v>15.66267153</v>
      </c>
      <c r="O78" s="5">
        <v>14.67908214</v>
      </c>
      <c r="P78" s="5">
        <v>14.36140135</v>
      </c>
      <c r="Q78" s="5">
        <v>14.05267836</v>
      </c>
      <c r="R78" s="5">
        <v>14.0914059</v>
      </c>
      <c r="S78" s="5">
        <v>14.13029369</v>
      </c>
      <c r="T78" s="5">
        <v>14.17188389</v>
      </c>
      <c r="U78" s="5">
        <v>14.21365711</v>
      </c>
    </row>
    <row r="79" ht="12.75" customHeight="1">
      <c r="B79" s="4">
        <v>14.5</v>
      </c>
      <c r="C79" s="4">
        <v>6.050754839</v>
      </c>
      <c r="D79" s="5">
        <v>6.775011655</v>
      </c>
      <c r="E79" s="5">
        <v>7.772211828</v>
      </c>
      <c r="F79" s="5">
        <v>9.631640253</v>
      </c>
      <c r="G79" s="5">
        <v>11.42409157</v>
      </c>
      <c r="H79" s="5">
        <v>13.91943042</v>
      </c>
      <c r="I79" s="5">
        <v>17.18940013</v>
      </c>
      <c r="J79" s="5">
        <v>16.6822534</v>
      </c>
      <c r="K79" s="5">
        <v>16.19359916</v>
      </c>
      <c r="L79" s="5">
        <v>15.12372209</v>
      </c>
      <c r="M79" s="5">
        <v>14.14717855</v>
      </c>
      <c r="N79" s="5">
        <v>13.85187517</v>
      </c>
      <c r="O79" s="5">
        <v>13.56466387</v>
      </c>
      <c r="P79" s="5">
        <v>13.59762025</v>
      </c>
      <c r="Q79" s="5">
        <v>13.63069731</v>
      </c>
      <c r="R79" s="5">
        <v>13.68641088</v>
      </c>
      <c r="S79" s="5">
        <v>13.74245631</v>
      </c>
      <c r="T79" s="5">
        <v>13.78018612</v>
      </c>
      <c r="U79" s="5">
        <v>13.81806736</v>
      </c>
    </row>
    <row r="80" ht="12.75" customHeight="1">
      <c r="B80" s="4">
        <v>15.0</v>
      </c>
      <c r="C80" s="4">
        <v>5.942384309</v>
      </c>
      <c r="D80" s="5">
        <v>6.868276562</v>
      </c>
      <c r="E80" s="5">
        <v>7.899649903</v>
      </c>
      <c r="F80" s="5">
        <v>9.93791051</v>
      </c>
      <c r="G80" s="5">
        <v>11.7357503</v>
      </c>
      <c r="H80" s="5">
        <v>14.99228458</v>
      </c>
      <c r="I80" s="5">
        <v>15.64643578</v>
      </c>
      <c r="J80" s="5">
        <v>14.66202623</v>
      </c>
      <c r="K80" s="5">
        <v>13.75829603</v>
      </c>
      <c r="L80" s="5">
        <v>13.46625067</v>
      </c>
      <c r="M80" s="5">
        <v>13.18222756</v>
      </c>
      <c r="N80" s="5">
        <v>13.18506841</v>
      </c>
      <c r="O80" s="5">
        <v>13.18791064</v>
      </c>
      <c r="P80" s="5">
        <v>13.26423308</v>
      </c>
      <c r="Q80" s="5">
        <v>13.34115332</v>
      </c>
      <c r="R80" s="5">
        <v>13.37882924</v>
      </c>
      <c r="S80" s="5">
        <v>13.416654</v>
      </c>
      <c r="T80" s="5">
        <v>13.42838133</v>
      </c>
      <c r="U80" s="5">
        <v>13.44012785</v>
      </c>
    </row>
    <row r="81" ht="12.75" customHeight="1">
      <c r="B81" s="4">
        <v>15.5</v>
      </c>
      <c r="C81" s="4">
        <v>6.049952917</v>
      </c>
      <c r="D81" s="5">
        <v>6.959036028</v>
      </c>
      <c r="E81" s="5">
        <v>8.024490225</v>
      </c>
      <c r="F81" s="5">
        <v>10.24659223</v>
      </c>
      <c r="G81" s="5">
        <v>12.04674624</v>
      </c>
      <c r="H81" s="5">
        <v>14.30944397</v>
      </c>
      <c r="I81" s="5">
        <v>13.39085612</v>
      </c>
      <c r="J81" s="5">
        <v>13.06086445</v>
      </c>
      <c r="K81" s="5">
        <v>12.74128201</v>
      </c>
      <c r="L81" s="5">
        <v>12.72254147</v>
      </c>
      <c r="M81" s="5">
        <v>12.70383477</v>
      </c>
      <c r="N81" s="5">
        <v>12.7692029</v>
      </c>
      <c r="O81" s="5">
        <v>12.83501781</v>
      </c>
      <c r="P81" s="5">
        <v>12.88390742</v>
      </c>
      <c r="Q81" s="5">
        <v>12.93305072</v>
      </c>
      <c r="R81" s="5">
        <v>12.96807498</v>
      </c>
      <c r="S81" s="5">
        <v>13.0032277</v>
      </c>
      <c r="T81" s="5">
        <v>13.04466091</v>
      </c>
      <c r="U81" s="5">
        <v>13.08627422</v>
      </c>
    </row>
    <row r="82" ht="12.75" customHeight="1">
      <c r="B82" s="4">
        <v>16.0</v>
      </c>
      <c r="C82" s="4">
        <v>6.028476879</v>
      </c>
      <c r="D82" s="5">
        <v>7.167689471</v>
      </c>
      <c r="E82" s="5">
        <v>8.590934436</v>
      </c>
      <c r="F82" s="5">
        <v>10.55771402</v>
      </c>
      <c r="G82" s="5">
        <v>13.19175288</v>
      </c>
      <c r="H82" s="5">
        <v>12.52557319</v>
      </c>
      <c r="I82" s="5">
        <v>12.35763257</v>
      </c>
      <c r="J82" s="5">
        <v>12.3290255</v>
      </c>
      <c r="K82" s="5">
        <v>12.30050223</v>
      </c>
      <c r="L82" s="5">
        <v>12.32036869</v>
      </c>
      <c r="M82" s="5">
        <v>12.34027681</v>
      </c>
      <c r="N82" s="5">
        <v>12.41883972</v>
      </c>
      <c r="O82" s="5">
        <v>12.49806161</v>
      </c>
      <c r="P82" s="5">
        <v>12.53478353</v>
      </c>
      <c r="Q82" s="5">
        <v>12.57165098</v>
      </c>
      <c r="R82" s="5">
        <v>12.59343229</v>
      </c>
      <c r="S82" s="5">
        <v>12.61526458</v>
      </c>
      <c r="T82" s="5">
        <v>12.71686811</v>
      </c>
      <c r="U82" s="5">
        <v>12.81955696</v>
      </c>
    </row>
    <row r="83" ht="12.75" customHeight="1">
      <c r="B83" s="4">
        <v>16.5</v>
      </c>
      <c r="C83" s="4">
        <v>6.022058824</v>
      </c>
      <c r="D83" s="5">
        <v>7.401089151</v>
      </c>
      <c r="E83" s="5">
        <v>9.198590557</v>
      </c>
      <c r="F83" s="5">
        <v>12.33482296</v>
      </c>
      <c r="G83" s="5">
        <v>11.87731217</v>
      </c>
      <c r="H83" s="5">
        <v>11.85521274</v>
      </c>
      <c r="I83" s="5">
        <v>11.86802099</v>
      </c>
      <c r="J83" s="5">
        <v>11.83441885</v>
      </c>
      <c r="K83" s="5">
        <v>11.80093834</v>
      </c>
      <c r="L83" s="5">
        <v>11.8945773</v>
      </c>
      <c r="M83" s="5">
        <v>11.98916723</v>
      </c>
      <c r="N83" s="5">
        <v>12.0378793</v>
      </c>
      <c r="O83" s="5">
        <v>12.08684999</v>
      </c>
      <c r="P83" s="5">
        <v>12.09499489</v>
      </c>
      <c r="Q83" s="5">
        <v>12.10314757</v>
      </c>
      <c r="R83" s="5">
        <v>12.21201946</v>
      </c>
      <c r="S83" s="5">
        <v>12.32216708</v>
      </c>
      <c r="T83" s="5">
        <v>12.41342291</v>
      </c>
      <c r="U83" s="5">
        <v>12.50556793</v>
      </c>
    </row>
    <row r="84" ht="12.75" customHeight="1">
      <c r="B84" s="4">
        <v>17.0</v>
      </c>
      <c r="C84" s="4">
        <v>5.983193976</v>
      </c>
      <c r="D84" s="5">
        <v>7.590943626</v>
      </c>
      <c r="E84" s="5">
        <v>9.852125964</v>
      </c>
      <c r="F84" s="5">
        <v>11.20706198</v>
      </c>
      <c r="G84" s="5">
        <v>11.35037439</v>
      </c>
      <c r="H84" s="5">
        <v>11.41237447</v>
      </c>
      <c r="I84" s="5">
        <v>11.41875689</v>
      </c>
      <c r="J84" s="5">
        <v>11.45036681</v>
      </c>
      <c r="K84" s="5">
        <v>11.48208363</v>
      </c>
      <c r="L84" s="5">
        <v>11.55425699</v>
      </c>
      <c r="M84" s="5">
        <v>11.62700754</v>
      </c>
      <c r="N84" s="5">
        <v>11.62351707</v>
      </c>
      <c r="O84" s="5">
        <v>11.62002752</v>
      </c>
      <c r="P84" s="5">
        <v>11.74049276</v>
      </c>
      <c r="Q84" s="5">
        <v>11.8625498</v>
      </c>
      <c r="R84" s="5">
        <v>11.95309112</v>
      </c>
      <c r="S84" s="5">
        <v>12.04452491</v>
      </c>
      <c r="T84" s="5">
        <v>12.10995592</v>
      </c>
      <c r="U84" s="5">
        <v>12.17585089</v>
      </c>
    </row>
    <row r="85" ht="12.75" customHeight="1">
      <c r="B85" s="4">
        <v>17.5</v>
      </c>
      <c r="C85" s="4">
        <v>6.079267788</v>
      </c>
      <c r="D85" s="5">
        <v>7.893479171</v>
      </c>
      <c r="E85" s="5">
        <v>10.55694048</v>
      </c>
      <c r="F85" s="5">
        <v>10.7631141</v>
      </c>
      <c r="G85" s="5">
        <v>10.92539544</v>
      </c>
      <c r="H85" s="5">
        <v>10.99681071</v>
      </c>
      <c r="I85" s="5">
        <v>10.97052211</v>
      </c>
      <c r="J85" s="5">
        <v>11.06333563</v>
      </c>
      <c r="K85" s="5">
        <v>11.15709779</v>
      </c>
      <c r="L85" s="5">
        <v>11.16093405</v>
      </c>
      <c r="M85" s="5">
        <v>11.16477273</v>
      </c>
      <c r="N85" s="5">
        <v>11.2729813</v>
      </c>
      <c r="O85" s="5">
        <v>11.38248259</v>
      </c>
      <c r="P85" s="5">
        <v>11.47425196</v>
      </c>
      <c r="Q85" s="5">
        <v>11.56695708</v>
      </c>
      <c r="R85" s="5">
        <v>11.62469248</v>
      </c>
      <c r="S85" s="5">
        <v>11.68279535</v>
      </c>
      <c r="T85" s="5">
        <v>11.6757564</v>
      </c>
      <c r="U85" s="5">
        <v>11.66872201</v>
      </c>
    </row>
    <row r="86" ht="12.75" customHeight="1">
      <c r="B86" s="4">
        <v>18.0</v>
      </c>
      <c r="C86" s="4">
        <v>6.158824994</v>
      </c>
      <c r="D86" s="5">
        <v>10.12928513</v>
      </c>
      <c r="E86" s="5">
        <v>10.10301434</v>
      </c>
      <c r="F86" s="5">
        <v>10.47016492</v>
      </c>
      <c r="G86" s="5">
        <v>10.65042129</v>
      </c>
      <c r="H86" s="5">
        <v>10.70259748</v>
      </c>
      <c r="I86" s="5">
        <v>10.77218899</v>
      </c>
      <c r="J86" s="5">
        <v>10.79944971</v>
      </c>
      <c r="K86" s="5">
        <v>10.82680059</v>
      </c>
      <c r="L86" s="5">
        <v>10.90528905</v>
      </c>
      <c r="M86" s="5">
        <v>10.98443676</v>
      </c>
      <c r="N86" s="5">
        <v>11.06379679</v>
      </c>
      <c r="O86" s="5">
        <v>11.14385397</v>
      </c>
      <c r="P86" s="5">
        <v>11.17424952</v>
      </c>
      <c r="Q86" s="5">
        <v>11.20475148</v>
      </c>
      <c r="R86" s="5">
        <v>11.26321071</v>
      </c>
      <c r="S86" s="5">
        <v>11.32204883</v>
      </c>
      <c r="T86" s="5">
        <v>11.41890182</v>
      </c>
      <c r="U86" s="5">
        <v>11.51678962</v>
      </c>
    </row>
    <row r="87" ht="12.75" customHeight="1">
      <c r="B87" s="4">
        <v>18.5</v>
      </c>
      <c r="C87" s="4">
        <v>7.392410921</v>
      </c>
      <c r="D87" s="5">
        <v>9.647998201</v>
      </c>
      <c r="E87" s="5">
        <v>10.01788083</v>
      </c>
      <c r="F87" s="5">
        <v>10.45085128</v>
      </c>
      <c r="G87" s="5">
        <v>10.6107648</v>
      </c>
      <c r="H87" s="5">
        <v>10.59580068</v>
      </c>
      <c r="I87" s="5">
        <v>10.6119394</v>
      </c>
      <c r="J87" s="5">
        <v>10.64460035</v>
      </c>
      <c r="K87" s="5">
        <v>10.67735543</v>
      </c>
      <c r="L87" s="5">
        <v>10.71903487</v>
      </c>
      <c r="M87" s="5">
        <v>10.76088267</v>
      </c>
      <c r="N87" s="5">
        <v>10.78530238</v>
      </c>
      <c r="O87" s="5">
        <v>10.8097974</v>
      </c>
      <c r="P87" s="5">
        <v>10.89263478</v>
      </c>
      <c r="Q87" s="5">
        <v>10.976205</v>
      </c>
      <c r="R87" s="5">
        <v>11.06176245</v>
      </c>
      <c r="S87" s="5">
        <v>11.14813674</v>
      </c>
      <c r="T87" s="5">
        <v>11.21784566</v>
      </c>
      <c r="U87" s="5">
        <v>11.28809982</v>
      </c>
    </row>
    <row r="88" ht="12.75" customHeight="1">
      <c r="B88" s="4">
        <v>19.0</v>
      </c>
      <c r="C88" s="4">
        <v>9.543696829</v>
      </c>
      <c r="D88" s="5">
        <v>9.663781067</v>
      </c>
      <c r="E88" s="5">
        <v>10.6203902</v>
      </c>
      <c r="F88" s="5">
        <v>10.88649695</v>
      </c>
      <c r="G88" s="5">
        <v>10.6724693</v>
      </c>
      <c r="H88" s="5">
        <v>10.78031212</v>
      </c>
      <c r="I88" s="5">
        <v>10.64368499</v>
      </c>
      <c r="J88" s="5">
        <v>10.59354648</v>
      </c>
      <c r="K88" s="5">
        <v>10.54379239</v>
      </c>
      <c r="L88" s="5">
        <v>10.56833279</v>
      </c>
      <c r="M88" s="5">
        <v>10.59292977</v>
      </c>
      <c r="N88" s="5">
        <v>10.63277271</v>
      </c>
      <c r="O88" s="5">
        <v>10.67275748</v>
      </c>
      <c r="P88" s="5">
        <v>10.72522831</v>
      </c>
      <c r="Q88" s="5">
        <v>10.77799654</v>
      </c>
      <c r="R88" s="5">
        <v>10.80959923</v>
      </c>
      <c r="S88" s="5">
        <v>10.84131737</v>
      </c>
      <c r="T88" s="5">
        <v>10.94804999</v>
      </c>
      <c r="U88" s="5">
        <v>11.05604362</v>
      </c>
    </row>
    <row r="89" ht="12.75" customHeight="1">
      <c r="B89" s="4">
        <v>19.5</v>
      </c>
      <c r="C89" s="4">
        <v>9.715300516</v>
      </c>
      <c r="D89" s="5">
        <v>11.78438192</v>
      </c>
      <c r="E89" s="5">
        <v>11.73353877</v>
      </c>
      <c r="F89" s="5">
        <v>11.86836248</v>
      </c>
      <c r="G89" s="5">
        <v>11.21660451</v>
      </c>
      <c r="H89" s="5">
        <v>10.8302517</v>
      </c>
      <c r="I89" s="5">
        <v>10.7316134</v>
      </c>
      <c r="J89" s="5">
        <v>10.62348428</v>
      </c>
      <c r="K89" s="5">
        <v>10.51697981</v>
      </c>
      <c r="L89" s="5">
        <v>10.48706683</v>
      </c>
      <c r="M89" s="5">
        <v>10.4573153</v>
      </c>
      <c r="N89" s="5">
        <v>10.48168269</v>
      </c>
      <c r="O89" s="5">
        <v>10.5061082</v>
      </c>
      <c r="P89" s="5">
        <v>10.56351174</v>
      </c>
      <c r="Q89" s="5">
        <v>10.62123428</v>
      </c>
      <c r="R89" s="5">
        <v>10.71038091</v>
      </c>
      <c r="S89" s="5">
        <v>10.80040168</v>
      </c>
      <c r="T89" s="5">
        <v>10.87262752</v>
      </c>
      <c r="U89" s="5">
        <v>10.94544697</v>
      </c>
    </row>
    <row r="90" ht="12.75" customHeight="1">
      <c r="B90" s="4">
        <v>20.0</v>
      </c>
      <c r="C90" s="4">
        <v>12.47303494</v>
      </c>
      <c r="D90" s="5">
        <v>13.19707343</v>
      </c>
      <c r="E90" s="5">
        <v>12.98198799</v>
      </c>
      <c r="F90" s="5">
        <v>12.10405362</v>
      </c>
      <c r="G90" s="5">
        <v>11.83287223</v>
      </c>
      <c r="H90" s="5">
        <v>11.21366279</v>
      </c>
      <c r="I90" s="5">
        <v>10.81896552</v>
      </c>
      <c r="J90" s="5">
        <v>10.69776294</v>
      </c>
      <c r="K90" s="5">
        <v>10.5785316</v>
      </c>
      <c r="L90" s="5">
        <v>10.47580622</v>
      </c>
      <c r="M90" s="5">
        <v>10.37464966</v>
      </c>
      <c r="N90" s="5">
        <v>10.36873072</v>
      </c>
      <c r="O90" s="5">
        <v>10.36282731</v>
      </c>
      <c r="P90" s="5">
        <v>10.41878826</v>
      </c>
      <c r="Q90" s="5">
        <v>10.47507029</v>
      </c>
      <c r="R90" s="5">
        <v>10.57108246</v>
      </c>
      <c r="S90" s="5">
        <v>10.66813595</v>
      </c>
      <c r="T90" s="5">
        <v>10.75293569</v>
      </c>
      <c r="U90" s="5">
        <v>10.83855478</v>
      </c>
    </row>
    <row r="91" ht="12.75" customHeight="1">
      <c r="B91" s="4">
        <v>20.5</v>
      </c>
      <c r="C91" s="4">
        <v>12.92363075</v>
      </c>
      <c r="D91" s="5">
        <v>13.14157836</v>
      </c>
      <c r="E91" s="5">
        <v>13.06913662</v>
      </c>
      <c r="F91" s="5">
        <v>12.67544145</v>
      </c>
      <c r="G91" s="5">
        <v>12.44936137</v>
      </c>
      <c r="H91" s="5">
        <v>11.55935737</v>
      </c>
      <c r="I91" s="5">
        <v>11.01653725</v>
      </c>
      <c r="J91" s="5">
        <v>10.70694461</v>
      </c>
      <c r="K91" s="5">
        <v>10.40971946</v>
      </c>
      <c r="L91" s="5">
        <v>10.30059272</v>
      </c>
      <c r="M91" s="5">
        <v>10.19320155</v>
      </c>
      <c r="N91" s="5">
        <v>10.21059117</v>
      </c>
      <c r="O91" s="5">
        <v>10.22798566</v>
      </c>
      <c r="P91" s="5">
        <v>10.29083654</v>
      </c>
      <c r="Q91" s="5">
        <v>10.35410206</v>
      </c>
      <c r="R91" s="5">
        <v>10.38840711</v>
      </c>
      <c r="S91" s="5">
        <v>10.42284615</v>
      </c>
      <c r="T91" s="5">
        <v>10.50090971</v>
      </c>
      <c r="U91" s="5">
        <v>10.57966876</v>
      </c>
    </row>
    <row r="92" ht="12.75" customHeight="1">
      <c r="B92" s="4">
        <v>21.0</v>
      </c>
      <c r="C92" s="4">
        <v>12.16968437</v>
      </c>
      <c r="D92" s="5">
        <v>12.77710652</v>
      </c>
      <c r="E92" s="5">
        <v>12.97474093</v>
      </c>
      <c r="F92" s="5">
        <v>13.11743023</v>
      </c>
      <c r="G92" s="5">
        <v>12.13949105</v>
      </c>
      <c r="H92" s="5">
        <v>11.40963855</v>
      </c>
      <c r="I92" s="5">
        <v>10.85947047</v>
      </c>
      <c r="J92" s="5">
        <v>10.59052081</v>
      </c>
      <c r="K92" s="5">
        <v>10.33112583</v>
      </c>
      <c r="L92" s="5">
        <v>10.20938186</v>
      </c>
      <c r="M92" s="5">
        <v>10.08983191</v>
      </c>
      <c r="N92" s="5">
        <v>10.0864466</v>
      </c>
      <c r="O92" s="5">
        <v>10.08306744</v>
      </c>
      <c r="P92" s="5">
        <v>10.12264359</v>
      </c>
      <c r="Q92" s="5">
        <v>10.16237711</v>
      </c>
      <c r="R92" s="5">
        <v>10.22051694</v>
      </c>
      <c r="S92" s="5">
        <v>10.2790284</v>
      </c>
      <c r="T92" s="5">
        <v>10.33711625</v>
      </c>
      <c r="U92" s="5">
        <v>10.39559087</v>
      </c>
    </row>
    <row r="93" ht="12.75" customHeight="1">
      <c r="B93" s="4">
        <v>21.5</v>
      </c>
      <c r="C93" s="4">
        <v>11.35629522</v>
      </c>
      <c r="D93" s="5">
        <v>12.02074714</v>
      </c>
      <c r="E93" s="5">
        <v>12.29469645</v>
      </c>
      <c r="F93" s="5">
        <v>12.52687492</v>
      </c>
      <c r="G93" s="5">
        <v>12.29088169</v>
      </c>
      <c r="H93" s="5">
        <v>11.73325213</v>
      </c>
      <c r="I93" s="5">
        <v>11.13623018</v>
      </c>
      <c r="J93" s="5">
        <v>10.68133246</v>
      </c>
      <c r="K93" s="5">
        <v>10.25244976</v>
      </c>
      <c r="L93" s="5">
        <v>10.16751018</v>
      </c>
      <c r="M93" s="5">
        <v>10.08363855</v>
      </c>
      <c r="N93" s="5">
        <v>10.03893275</v>
      </c>
      <c r="O93" s="5">
        <v>9.994576124</v>
      </c>
      <c r="P93" s="5">
        <v>10.00569507</v>
      </c>
      <c r="Q93" s="5">
        <v>10.01681402</v>
      </c>
      <c r="R93" s="5">
        <v>10.03284473</v>
      </c>
      <c r="S93" s="5">
        <v>10.04890507</v>
      </c>
      <c r="T93" s="5">
        <v>10.11177754</v>
      </c>
      <c r="U93" s="5">
        <v>10.17508344</v>
      </c>
    </row>
    <row r="94" ht="12.75" customHeight="1">
      <c r="B94" s="4">
        <v>22.0</v>
      </c>
      <c r="C94" s="4">
        <v>10.52303997</v>
      </c>
      <c r="D94" s="4">
        <v>11.3182966</v>
      </c>
      <c r="E94" s="4">
        <v>11.58052743</v>
      </c>
      <c r="F94" s="4">
        <v>11.90144682</v>
      </c>
      <c r="G94" s="4">
        <v>12.11829945</v>
      </c>
      <c r="H94" s="4">
        <v>11.71483739</v>
      </c>
      <c r="I94" s="4">
        <v>11.1514904</v>
      </c>
      <c r="J94" s="4">
        <v>10.82055315</v>
      </c>
      <c r="K94" s="4">
        <v>10.4896159</v>
      </c>
      <c r="L94" s="4">
        <v>10.2669809</v>
      </c>
      <c r="M94" s="4">
        <v>10.0443459</v>
      </c>
      <c r="N94" s="4">
        <v>9.958402205</v>
      </c>
      <c r="O94" s="4">
        <v>9.872458509</v>
      </c>
      <c r="P94" s="4">
        <v>9.880451299</v>
      </c>
      <c r="Q94" s="4">
        <v>9.888444089</v>
      </c>
      <c r="R94" s="4">
        <v>9.920135977</v>
      </c>
      <c r="S94" s="4">
        <v>9.951827865</v>
      </c>
      <c r="T94" s="4">
        <v>10.00039604</v>
      </c>
      <c r="U94" s="4">
        <v>10.04896422</v>
      </c>
    </row>
    <row r="95" ht="12.75" customHeight="1">
      <c r="B95" s="4">
        <v>22.5</v>
      </c>
      <c r="C95" s="4">
        <v>9.719083813</v>
      </c>
      <c r="D95" s="4">
        <v>10.50286338</v>
      </c>
      <c r="E95" s="4">
        <v>10.99124874</v>
      </c>
      <c r="F95" s="4">
        <v>11.17416604</v>
      </c>
      <c r="G95" s="4">
        <v>11.43495648</v>
      </c>
      <c r="H95" s="4">
        <v>11.6367325</v>
      </c>
      <c r="I95" s="4">
        <v>11.12885494</v>
      </c>
      <c r="J95" s="4">
        <v>10.74968392</v>
      </c>
      <c r="K95" s="4">
        <v>10.37051289</v>
      </c>
      <c r="L95" s="4">
        <v>10.21672329</v>
      </c>
      <c r="M95" s="4">
        <v>10.06293368</v>
      </c>
      <c r="N95" s="4">
        <v>9.945633331</v>
      </c>
      <c r="O95" s="4">
        <v>9.828332981</v>
      </c>
      <c r="P95" s="4">
        <v>9.809501262</v>
      </c>
      <c r="Q95" s="4">
        <v>9.790669542</v>
      </c>
      <c r="R95" s="4">
        <v>9.804550076</v>
      </c>
      <c r="S95" s="4">
        <v>9.818430609</v>
      </c>
      <c r="T95" s="4">
        <v>9.835375642</v>
      </c>
      <c r="U95" s="4">
        <v>9.852320675</v>
      </c>
    </row>
    <row r="96" ht="12.75" customHeight="1">
      <c r="B96" s="4">
        <v>23.0</v>
      </c>
      <c r="C96" s="4">
        <v>9.00411722</v>
      </c>
      <c r="D96" s="4">
        <v>9.188878906</v>
      </c>
      <c r="E96" s="4">
        <v>10.12774791</v>
      </c>
      <c r="F96" s="4">
        <v>10.42090303</v>
      </c>
      <c r="G96" s="4">
        <v>10.75168161</v>
      </c>
      <c r="H96" s="4">
        <v>11.01644587</v>
      </c>
      <c r="I96" s="4">
        <v>10.87637907</v>
      </c>
      <c r="J96" s="4">
        <v>10.6626031</v>
      </c>
      <c r="K96" s="4">
        <v>10.44882712</v>
      </c>
      <c r="L96" s="4">
        <v>10.21804041</v>
      </c>
      <c r="M96" s="4">
        <v>9.987253704</v>
      </c>
      <c r="N96" s="4">
        <v>9.869252634</v>
      </c>
      <c r="O96" s="4">
        <v>9.751251564</v>
      </c>
      <c r="P96" s="4">
        <v>9.708924602</v>
      </c>
      <c r="Q96" s="4">
        <v>9.666597639</v>
      </c>
      <c r="R96" s="4">
        <v>9.682388692</v>
      </c>
      <c r="S96" s="4">
        <v>9.698179744</v>
      </c>
      <c r="T96" s="4">
        <v>9.712860696</v>
      </c>
      <c r="U96" s="4">
        <v>9.727541647</v>
      </c>
    </row>
    <row r="97" ht="12.75" customHeight="1">
      <c r="B97" s="4">
        <v>23.5</v>
      </c>
      <c r="C97" s="4">
        <v>7.227892579</v>
      </c>
      <c r="D97" s="4">
        <v>8.256571349</v>
      </c>
      <c r="E97" s="4">
        <v>8.853295742</v>
      </c>
      <c r="F97" s="4">
        <v>9.680658351</v>
      </c>
      <c r="G97" s="4">
        <v>10.05005325</v>
      </c>
      <c r="H97" s="4">
        <v>10.40790695</v>
      </c>
      <c r="I97" s="4">
        <v>10.54790749</v>
      </c>
      <c r="J97" s="4">
        <v>10.43195386</v>
      </c>
      <c r="K97" s="4">
        <v>10.31600022</v>
      </c>
      <c r="L97" s="4">
        <v>10.11756955</v>
      </c>
      <c r="M97" s="4">
        <v>9.919138882</v>
      </c>
      <c r="N97" s="4">
        <v>9.797256874</v>
      </c>
      <c r="O97" s="4">
        <v>9.675374865</v>
      </c>
      <c r="P97" s="4">
        <v>9.664192342</v>
      </c>
      <c r="Q97" s="4">
        <v>9.653009819</v>
      </c>
      <c r="R97" s="4">
        <v>9.625564118</v>
      </c>
      <c r="S97" s="4">
        <v>9.598118417</v>
      </c>
      <c r="T97" s="4">
        <v>9.604333664</v>
      </c>
      <c r="U97" s="4">
        <v>9.610548911</v>
      </c>
    </row>
    <row r="98" ht="12.75" customHeight="1">
      <c r="B98" s="4">
        <v>24.0</v>
      </c>
      <c r="C98" s="4">
        <v>6.809454056</v>
      </c>
      <c r="D98" s="4">
        <v>7.608375238</v>
      </c>
      <c r="E98" s="4">
        <v>7.938334307</v>
      </c>
      <c r="F98" s="4">
        <v>8.982320388</v>
      </c>
      <c r="G98" s="4">
        <v>9.289661409</v>
      </c>
      <c r="H98" s="4">
        <v>9.72965961</v>
      </c>
      <c r="I98" s="4">
        <v>10.14397696</v>
      </c>
      <c r="J98" s="4">
        <v>10.10959043</v>
      </c>
      <c r="K98" s="4">
        <v>10.0752039</v>
      </c>
      <c r="L98" s="4">
        <v>9.938476737</v>
      </c>
      <c r="M98" s="4">
        <v>9.801749573</v>
      </c>
      <c r="N98" s="4">
        <v>9.754722521</v>
      </c>
      <c r="O98" s="4">
        <v>9.707695469</v>
      </c>
      <c r="P98" s="4">
        <v>9.635397438</v>
      </c>
      <c r="Q98" s="4">
        <v>9.563099406</v>
      </c>
      <c r="R98" s="4">
        <v>9.528713807</v>
      </c>
      <c r="S98" s="4">
        <v>9.494328208</v>
      </c>
      <c r="T98" s="4">
        <v>9.490018372</v>
      </c>
      <c r="U98" s="4">
        <v>9.485708535</v>
      </c>
    </row>
    <row r="99" ht="12.75" customHeight="1">
      <c r="B99" s="4">
        <v>24.5</v>
      </c>
      <c r="C99" s="4">
        <v>5.206216378</v>
      </c>
      <c r="D99" s="4">
        <v>5.497962345</v>
      </c>
      <c r="E99" s="4">
        <v>7.088659794</v>
      </c>
      <c r="F99" s="4">
        <v>8.350419817</v>
      </c>
      <c r="G99" s="4">
        <v>8.543822348</v>
      </c>
      <c r="H99" s="4">
        <v>9.038121438</v>
      </c>
      <c r="I99" s="4">
        <v>9.661704312</v>
      </c>
      <c r="J99" s="4">
        <v>9.671083987</v>
      </c>
      <c r="K99" s="4">
        <v>9.680463661</v>
      </c>
      <c r="L99" s="4">
        <v>9.721619162</v>
      </c>
      <c r="M99" s="4">
        <v>9.762774662</v>
      </c>
      <c r="N99" s="4">
        <v>9.67353923</v>
      </c>
      <c r="O99" s="4">
        <v>9.584303797</v>
      </c>
      <c r="P99" s="4">
        <v>9.51555509</v>
      </c>
      <c r="Q99" s="4">
        <v>9.446806382</v>
      </c>
      <c r="R99" s="4">
        <v>9.408575502</v>
      </c>
      <c r="S99" s="4">
        <v>9.370344622</v>
      </c>
      <c r="T99" s="4">
        <v>9.383340919</v>
      </c>
      <c r="U99" s="4">
        <v>9.396337215</v>
      </c>
    </row>
    <row r="100" ht="12.75" customHeight="1">
      <c r="B100" s="4">
        <v>25.0</v>
      </c>
      <c r="C100" s="4">
        <v>5.241383761</v>
      </c>
      <c r="D100" s="4">
        <v>5.442134758</v>
      </c>
      <c r="E100" s="4">
        <v>6.643121199</v>
      </c>
      <c r="F100" s="4">
        <v>7.84410764</v>
      </c>
      <c r="G100" s="4">
        <v>7.862826155</v>
      </c>
      <c r="H100" s="4">
        <v>8.369620723</v>
      </c>
      <c r="I100" s="4">
        <v>9.041477356</v>
      </c>
      <c r="J100" s="4">
        <v>9.091402332</v>
      </c>
      <c r="K100" s="4">
        <v>9.141327308</v>
      </c>
      <c r="L100" s="4">
        <v>9.276736974</v>
      </c>
      <c r="M100" s="4">
        <v>9.412146639</v>
      </c>
      <c r="N100" s="4">
        <v>9.395838037</v>
      </c>
      <c r="O100" s="4">
        <v>9.379529435</v>
      </c>
      <c r="P100" s="4">
        <v>9.335255916</v>
      </c>
      <c r="Q100" s="4">
        <v>9.290982397</v>
      </c>
      <c r="R100" s="4">
        <v>9.290227394</v>
      </c>
      <c r="S100" s="4">
        <v>9.28947239</v>
      </c>
      <c r="T100" s="4">
        <v>9.259744989</v>
      </c>
      <c r="U100" s="4">
        <v>9.230017588</v>
      </c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6">
    <mergeCell ref="AC2:AD2"/>
    <mergeCell ref="AI2:AJ2"/>
    <mergeCell ref="AK2:AL2"/>
    <mergeCell ref="AC52:AD52"/>
    <mergeCell ref="AI52:AJ52"/>
    <mergeCell ref="AK52:AL52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41" width="8.0"/>
  </cols>
  <sheetData>
    <row r="1" ht="12.75" customHeight="1"/>
    <row r="2" ht="12.75" customHeight="1"/>
    <row r="3" ht="12.75" customHeight="1">
      <c r="C3" s="4" t="s">
        <v>0</v>
      </c>
      <c r="D3" s="4" t="s">
        <v>0</v>
      </c>
      <c r="E3" s="4" t="s">
        <v>0</v>
      </c>
      <c r="F3" s="4" t="s">
        <v>0</v>
      </c>
      <c r="G3" s="4" t="s">
        <v>0</v>
      </c>
      <c r="H3" s="4" t="s">
        <v>0</v>
      </c>
      <c r="I3" s="4" t="s">
        <v>0</v>
      </c>
      <c r="J3" s="4" t="s">
        <v>0</v>
      </c>
      <c r="K3" s="4" t="s">
        <v>0</v>
      </c>
      <c r="L3" s="4" t="s">
        <v>0</v>
      </c>
      <c r="M3" s="4" t="s">
        <v>0</v>
      </c>
      <c r="N3" s="4" t="s">
        <v>0</v>
      </c>
      <c r="O3" s="4" t="s">
        <v>0</v>
      </c>
      <c r="P3" s="4" t="s">
        <v>0</v>
      </c>
      <c r="Q3" s="4" t="s">
        <v>0</v>
      </c>
      <c r="R3" s="4" t="s">
        <v>0</v>
      </c>
      <c r="S3" s="4" t="s">
        <v>0</v>
      </c>
      <c r="T3" s="4" t="s">
        <v>0</v>
      </c>
      <c r="U3" s="4" t="s">
        <v>0</v>
      </c>
      <c r="W3" s="1" t="s">
        <v>1</v>
      </c>
      <c r="X3" s="1"/>
      <c r="Y3" s="1"/>
      <c r="Z3" s="1"/>
      <c r="AA3" s="1"/>
      <c r="AB3" s="1" t="s">
        <v>2</v>
      </c>
      <c r="AC3" s="1" t="s">
        <v>3</v>
      </c>
      <c r="AE3" s="1"/>
      <c r="AF3" s="1"/>
      <c r="AG3" s="1"/>
      <c r="AH3" s="1"/>
      <c r="AI3" s="1" t="s">
        <v>4</v>
      </c>
      <c r="AK3" s="1" t="s">
        <v>5</v>
      </c>
      <c r="AM3" s="1" t="s">
        <v>6</v>
      </c>
      <c r="AN3" s="1" t="s">
        <v>7</v>
      </c>
      <c r="AO3" s="1" t="s">
        <v>0</v>
      </c>
    </row>
    <row r="4" ht="12.75" customHeight="1">
      <c r="C4" s="4">
        <v>50000.0</v>
      </c>
      <c r="D4" s="4">
        <v>750000.0</v>
      </c>
      <c r="E4" s="4">
        <v>100000.0</v>
      </c>
      <c r="F4" s="4">
        <v>125000.0</v>
      </c>
      <c r="G4" s="4">
        <v>150000.0</v>
      </c>
      <c r="H4" s="4">
        <v>175000.0</v>
      </c>
      <c r="I4" s="4">
        <v>200000.0</v>
      </c>
      <c r="J4" s="4">
        <v>225000.0</v>
      </c>
      <c r="K4" s="4">
        <v>250000.0</v>
      </c>
      <c r="L4" s="4">
        <v>275000.0</v>
      </c>
      <c r="M4" s="4">
        <v>300000.0</v>
      </c>
      <c r="N4" s="4">
        <v>325000.0</v>
      </c>
      <c r="O4" s="4">
        <v>350000.0</v>
      </c>
      <c r="P4" s="4">
        <v>375000.0</v>
      </c>
      <c r="Q4" s="4">
        <v>400000.0</v>
      </c>
      <c r="R4" s="4">
        <v>425000.0</v>
      </c>
      <c r="S4" s="4">
        <v>450000.0</v>
      </c>
      <c r="T4" s="4">
        <v>475000.0</v>
      </c>
      <c r="U4" s="4">
        <v>500000.0</v>
      </c>
      <c r="W4" s="2" t="str">
        <f>IF('расчет'!R22&lt;50000,50000,'расчет'!R22)</f>
        <v>163883.2139</v>
      </c>
      <c r="X4" s="2" t="str">
        <f t="shared" ref="X4:X20" si="1">IF((W4&gt;475000),475000,(ROUNDDOWN((W4/25000),0))*25000)</f>
        <v>150000</v>
      </c>
      <c r="Y4" s="2" t="str">
        <f t="shared" ref="Y4:Y20" si="2">X4+25000</f>
        <v>175000</v>
      </c>
      <c r="Z4" s="2" t="str">
        <f t="shared" ref="Z4:Z20" si="3">IF((W4&gt;500000),0,(Y4-W4)/25000)</f>
        <v>0.444671445</v>
      </c>
      <c r="AA4" s="2" t="str">
        <f t="shared" ref="AA4:AA20" si="4">1-Z4</f>
        <v>0.555328555</v>
      </c>
      <c r="AB4" s="2" t="str">
        <f>'расчет'!P22</f>
        <v>7.018095386</v>
      </c>
      <c r="AC4" s="1">
        <v>2.0</v>
      </c>
      <c r="AD4" s="1">
        <v>25.0</v>
      </c>
      <c r="AE4" s="2" t="str">
        <f t="shared" ref="AE4:AE20" si="6">IF(AB4&gt;0,ROUNDDOWN((AB4/0.5),0)*0.5,ROUNDUP((AB4/0.5),0)*0.5)</f>
        <v>7</v>
      </c>
      <c r="AF4" s="2" t="str">
        <f t="shared" ref="AF4:AF20" si="7">AE4+0.5</f>
        <v>7.5</v>
      </c>
      <c r="AG4" s="2" t="str">
        <f t="shared" ref="AG4:AG20" si="8">(AF4-AB4)/0.5</f>
        <v>0.9638092287</v>
      </c>
      <c r="AH4" s="2" t="str">
        <f t="shared" ref="AH4:AH20" si="9">1-AG4</f>
        <v>0.03619077129</v>
      </c>
      <c r="AI4" s="2" t="str">
        <f>VLOOKUP(AE4,B5:U51,(X4/25000),FALSE)</f>
        <v>0.4873</v>
      </c>
      <c r="AJ4" s="2" t="str">
        <f>VLOOKUP(AF4,B5:U51,(X4/25000),FALSE)</f>
        <v>0.4986</v>
      </c>
      <c r="AK4" s="2" t="str">
        <f>VLOOKUP(AE4,B5:U51,(Y4/25000),FALSE)</f>
        <v>0.5468</v>
      </c>
      <c r="AL4" s="2" t="str">
        <f>VLOOKUP(AF4,B5:U51,(Y4/25000),FALSE)</f>
        <v>0.675</v>
      </c>
      <c r="AM4" s="2" t="str">
        <f t="shared" ref="AM4:AM20" si="10">AI4*AG4+AJ4*AH4</f>
        <v>0.4877089557</v>
      </c>
      <c r="AN4" s="2" t="str">
        <f t="shared" ref="AN4:AN20" si="11">AK4*AG4+AL4*AH4</f>
        <v>0.5514396569</v>
      </c>
      <c r="AO4" s="2" t="str">
        <f t="shared" ref="AO4:AO20" si="12">AM4*Z4+AN4*AA4</f>
        <v>0.5231004339</v>
      </c>
    </row>
    <row r="5" ht="12.75" customHeight="1">
      <c r="B5" s="1">
        <v>2.0</v>
      </c>
      <c r="C5" s="1">
        <v>0.01</v>
      </c>
      <c r="D5" s="1">
        <v>0.01</v>
      </c>
      <c r="E5" s="1">
        <v>0.01</v>
      </c>
      <c r="F5" s="1">
        <v>0.01</v>
      </c>
      <c r="G5" s="1">
        <v>0.01</v>
      </c>
      <c r="H5" s="1">
        <v>0.01</v>
      </c>
      <c r="I5" s="1">
        <v>0.01</v>
      </c>
      <c r="J5" s="1">
        <v>0.05345</v>
      </c>
      <c r="K5" s="1">
        <v>0.1304</v>
      </c>
      <c r="L5" s="1">
        <v>0.163975</v>
      </c>
      <c r="M5" s="1">
        <v>0.19755</v>
      </c>
      <c r="N5" s="1">
        <v>0.231125</v>
      </c>
      <c r="O5" s="1">
        <v>0.2647</v>
      </c>
      <c r="P5" s="1">
        <v>0.27425</v>
      </c>
      <c r="Q5" s="1">
        <v>0.2838</v>
      </c>
      <c r="R5" s="1">
        <v>0.3268</v>
      </c>
      <c r="S5" s="1">
        <v>0.3698</v>
      </c>
      <c r="T5" s="1">
        <v>0.4128</v>
      </c>
      <c r="U5" s="1">
        <v>0.4558</v>
      </c>
      <c r="W5" s="2" t="str">
        <f>IF('расчет'!R23&lt;50000,50000,'расчет'!R23)</f>
        <v>161126.0378</v>
      </c>
      <c r="X5" s="2" t="str">
        <f t="shared" si="1"/>
        <v>150000</v>
      </c>
      <c r="Y5" s="2" t="str">
        <f t="shared" si="2"/>
        <v>175000</v>
      </c>
      <c r="Z5" s="2" t="str">
        <f t="shared" si="3"/>
        <v>0.5549584897</v>
      </c>
      <c r="AA5" s="2" t="str">
        <f t="shared" si="4"/>
        <v>0.4450415103</v>
      </c>
      <c r="AB5" s="2" t="str">
        <f>'расчет'!P23</f>
        <v>7.75866912</v>
      </c>
      <c r="AC5" s="2" t="str">
        <f t="shared" ref="AC5:AD5" si="5">AC4</f>
        <v>2</v>
      </c>
      <c r="AD5" s="2" t="str">
        <f t="shared" si="5"/>
        <v>25</v>
      </c>
      <c r="AE5" s="2" t="str">
        <f t="shared" si="6"/>
        <v>7.5</v>
      </c>
      <c r="AF5" s="2" t="str">
        <f t="shared" si="7"/>
        <v>8</v>
      </c>
      <c r="AG5" s="2" t="str">
        <f t="shared" si="8"/>
        <v>0.4826617596</v>
      </c>
      <c r="AH5" s="2" t="str">
        <f t="shared" si="9"/>
        <v>0.5173382404</v>
      </c>
      <c r="AI5" s="2" t="str">
        <f>VLOOKUP(AE5,B5:U51,(X5/25000),FALSE)</f>
        <v>0.4986</v>
      </c>
      <c r="AJ5" s="2" t="str">
        <f>VLOOKUP(AF5,B5:U51,(X5/25000),FALSE)</f>
        <v>0.6471</v>
      </c>
      <c r="AK5" s="2" t="str">
        <f>VLOOKUP(AE5,B5:U51,(Y5/25000),FALSE)</f>
        <v>0.675</v>
      </c>
      <c r="AL5" s="2" t="str">
        <f>VLOOKUP(AF5,B5:U51,(Y5/25000),FALSE)</f>
        <v>0.6351</v>
      </c>
      <c r="AM5" s="2" t="str">
        <f t="shared" si="10"/>
        <v>0.5754247287</v>
      </c>
      <c r="AN5" s="2" t="str">
        <f t="shared" si="11"/>
        <v>0.6543582042</v>
      </c>
      <c r="AO5" s="2" t="str">
        <f t="shared" si="12"/>
        <v>0.6105534019</v>
      </c>
    </row>
    <row r="6" ht="12.75" customHeight="1">
      <c r="B6" s="1">
        <v>2.5</v>
      </c>
      <c r="C6" s="1">
        <v>0.01</v>
      </c>
      <c r="D6" s="1">
        <v>0.01</v>
      </c>
      <c r="E6" s="1">
        <v>0.01</v>
      </c>
      <c r="F6" s="1">
        <v>0.01</v>
      </c>
      <c r="G6" s="1">
        <v>0.01</v>
      </c>
      <c r="H6" s="1">
        <v>0.01</v>
      </c>
      <c r="I6" s="1">
        <v>0.01</v>
      </c>
      <c r="J6" s="1">
        <v>0.096564286</v>
      </c>
      <c r="K6" s="1">
        <v>0.187628571</v>
      </c>
      <c r="L6" s="1">
        <v>0.215233929</v>
      </c>
      <c r="M6" s="1">
        <v>0.242839286</v>
      </c>
      <c r="N6" s="1">
        <v>0.270444643</v>
      </c>
      <c r="O6" s="1">
        <v>0.29805</v>
      </c>
      <c r="P6" s="1">
        <v>0.337775</v>
      </c>
      <c r="Q6" s="1">
        <v>0.3775</v>
      </c>
      <c r="R6" s="1">
        <v>0.35935</v>
      </c>
      <c r="S6" s="1">
        <v>0.3412</v>
      </c>
      <c r="T6" s="1">
        <v>0.420725</v>
      </c>
      <c r="U6" s="1">
        <v>0.50025</v>
      </c>
      <c r="W6" s="2" t="str">
        <f>IF('расчет'!R24&lt;50000,50000,'расчет'!R24)</f>
        <v>158297.851</v>
      </c>
      <c r="X6" s="2" t="str">
        <f t="shared" si="1"/>
        <v>150000</v>
      </c>
      <c r="Y6" s="2" t="str">
        <f t="shared" si="2"/>
        <v>175000</v>
      </c>
      <c r="Z6" s="2" t="str">
        <f t="shared" si="3"/>
        <v>0.6680859584</v>
      </c>
      <c r="AA6" s="2" t="str">
        <f t="shared" si="4"/>
        <v>0.3319140416</v>
      </c>
      <c r="AB6" s="2" t="str">
        <f>'расчет'!P24</f>
        <v>8.407959642</v>
      </c>
      <c r="AC6" s="2" t="str">
        <f t="shared" ref="AC6:AD6" si="13">AC5</f>
        <v>2</v>
      </c>
      <c r="AD6" s="2" t="str">
        <f t="shared" si="13"/>
        <v>25</v>
      </c>
      <c r="AE6" s="2" t="str">
        <f t="shared" si="6"/>
        <v>8</v>
      </c>
      <c r="AF6" s="2" t="str">
        <f t="shared" si="7"/>
        <v>8.5</v>
      </c>
      <c r="AG6" s="2" t="str">
        <f t="shared" si="8"/>
        <v>0.1840807162</v>
      </c>
      <c r="AH6" s="2" t="str">
        <f t="shared" si="9"/>
        <v>0.8159192838</v>
      </c>
      <c r="AI6" s="2" t="str">
        <f>VLOOKUP(AE6,B5:U51,(X6/25000),FALSE)</f>
        <v>0.6471</v>
      </c>
      <c r="AJ6" s="2" t="str">
        <f>VLOOKUP(AF6,B5:U51,(X6/25000),FALSE)</f>
        <v>0.72115</v>
      </c>
      <c r="AK6" s="2" t="str">
        <f>VLOOKUP(AE6,B5:U51,(Y6/25000),FALSE)</f>
        <v>0.6351</v>
      </c>
      <c r="AL6" s="2" t="str">
        <f>VLOOKUP(AF6,B5:U51,(Y6/25000),FALSE)</f>
        <v>0.7746</v>
      </c>
      <c r="AM6" s="2" t="str">
        <f t="shared" si="10"/>
        <v>0.707518823</v>
      </c>
      <c r="AN6" s="2" t="str">
        <f t="shared" si="11"/>
        <v>0.7489207401</v>
      </c>
      <c r="AO6" s="2" t="str">
        <f t="shared" si="12"/>
        <v>0.7212607006</v>
      </c>
    </row>
    <row r="7" ht="12.75" customHeight="1">
      <c r="B7" s="1">
        <v>3.0</v>
      </c>
      <c r="C7" s="1">
        <v>0.01</v>
      </c>
      <c r="D7" s="1">
        <v>0.01</v>
      </c>
      <c r="E7" s="1">
        <v>0.01</v>
      </c>
      <c r="F7" s="1">
        <v>0.01</v>
      </c>
      <c r="G7" s="1">
        <v>0.01</v>
      </c>
      <c r="H7" s="1">
        <v>0.01</v>
      </c>
      <c r="I7" s="1">
        <v>0.046133333</v>
      </c>
      <c r="J7" s="1">
        <v>0.145495238</v>
      </c>
      <c r="K7" s="1">
        <v>0.244857143</v>
      </c>
      <c r="L7" s="1">
        <v>0.247128571</v>
      </c>
      <c r="M7" s="1">
        <v>0.2494</v>
      </c>
      <c r="N7" s="1">
        <v>0.2904</v>
      </c>
      <c r="O7" s="1">
        <v>0.3314</v>
      </c>
      <c r="P7" s="1">
        <v>0.3724</v>
      </c>
      <c r="Q7" s="1">
        <v>0.4134</v>
      </c>
      <c r="R7" s="1">
        <v>0.41695</v>
      </c>
      <c r="S7" s="1">
        <v>0.4205</v>
      </c>
      <c r="T7" s="1">
        <v>0.4826</v>
      </c>
      <c r="U7" s="1">
        <v>0.5447</v>
      </c>
      <c r="W7" s="2" t="str">
        <f>IF('расчет'!R25&lt;50000,50000,'расчет'!R25)</f>
        <v>155303.7932</v>
      </c>
      <c r="X7" s="2" t="str">
        <f t="shared" si="1"/>
        <v>150000</v>
      </c>
      <c r="Y7" s="2" t="str">
        <f t="shared" si="2"/>
        <v>175000</v>
      </c>
      <c r="Z7" s="2" t="str">
        <f t="shared" si="3"/>
        <v>0.7878482728</v>
      </c>
      <c r="AA7" s="2" t="str">
        <f t="shared" si="4"/>
        <v>0.2121517272</v>
      </c>
      <c r="AB7" s="2" t="str">
        <f>'расчет'!P25</f>
        <v>8.972215942</v>
      </c>
      <c r="AC7" s="2" t="str">
        <f t="shared" ref="AC7:AD7" si="14">AC6</f>
        <v>2</v>
      </c>
      <c r="AD7" s="2" t="str">
        <f t="shared" si="14"/>
        <v>25</v>
      </c>
      <c r="AE7" s="2" t="str">
        <f t="shared" si="6"/>
        <v>8.5</v>
      </c>
      <c r="AF7" s="2" t="str">
        <f t="shared" si="7"/>
        <v>9</v>
      </c>
      <c r="AG7" s="2" t="str">
        <f t="shared" si="8"/>
        <v>0.05556811655</v>
      </c>
      <c r="AH7" s="2" t="str">
        <f t="shared" si="9"/>
        <v>0.9444318834</v>
      </c>
      <c r="AI7" s="2" t="str">
        <f>VLOOKUP(AE7,B5:U51,(X7/25000),FALSE)</f>
        <v>0.72115</v>
      </c>
      <c r="AJ7" s="2" t="str">
        <f>VLOOKUP(AF7,B5:U51,(X7/25000),FALSE)</f>
        <v>0.7952</v>
      </c>
      <c r="AK7" s="2" t="str">
        <f>VLOOKUP(AE7,B5:U51,(Y7/25000),FALSE)</f>
        <v>0.7746</v>
      </c>
      <c r="AL7" s="2" t="str">
        <f>VLOOKUP(AF7,B5:U51,(Y7/25000),FALSE)</f>
        <v>0.8835</v>
      </c>
      <c r="AM7" s="2" t="str">
        <f t="shared" si="10"/>
        <v>0.791085181</v>
      </c>
      <c r="AN7" s="2" t="str">
        <f t="shared" si="11"/>
        <v>0.8774486321</v>
      </c>
      <c r="AO7" s="2" t="str">
        <f t="shared" si="12"/>
        <v>0.8094073363</v>
      </c>
    </row>
    <row r="8" ht="12.75" customHeight="1">
      <c r="B8" s="1">
        <v>3.5</v>
      </c>
      <c r="C8" s="1">
        <v>0.01</v>
      </c>
      <c r="D8" s="1">
        <v>0.01</v>
      </c>
      <c r="E8" s="1">
        <v>0.01</v>
      </c>
      <c r="F8" s="1">
        <v>0.01</v>
      </c>
      <c r="G8" s="1">
        <v>0.046</v>
      </c>
      <c r="H8" s="1">
        <v>0.0222</v>
      </c>
      <c r="I8" s="1">
        <v>0.099665079</v>
      </c>
      <c r="J8" s="1">
        <v>0.200875397</v>
      </c>
      <c r="K8" s="1">
        <v>0.302085714</v>
      </c>
      <c r="L8" s="1">
        <v>0.325742857</v>
      </c>
      <c r="M8" s="1">
        <v>0.3494</v>
      </c>
      <c r="N8" s="1">
        <v>0.374375</v>
      </c>
      <c r="O8" s="1">
        <v>0.39935</v>
      </c>
      <c r="P8" s="1">
        <v>0.424325</v>
      </c>
      <c r="Q8" s="1">
        <v>0.4493</v>
      </c>
      <c r="R8" s="1">
        <v>0.47445</v>
      </c>
      <c r="S8" s="1">
        <v>0.4996</v>
      </c>
      <c r="T8" s="1">
        <v>0.5691</v>
      </c>
      <c r="U8" s="1">
        <v>0.6386</v>
      </c>
      <c r="W8" s="2" t="str">
        <f>IF('расчет'!R26&lt;50000,50000,'расчет'!R26)</f>
        <v>152048.384</v>
      </c>
      <c r="X8" s="2" t="str">
        <f t="shared" si="1"/>
        <v>150000</v>
      </c>
      <c r="Y8" s="2" t="str">
        <f t="shared" si="2"/>
        <v>175000</v>
      </c>
      <c r="Z8" s="2" t="str">
        <f t="shared" si="3"/>
        <v>0.9180646404</v>
      </c>
      <c r="AA8" s="2" t="str">
        <f t="shared" si="4"/>
        <v>0.08193535957</v>
      </c>
      <c r="AB8" s="2" t="str">
        <f>'расчет'!P26</f>
        <v>9.459475009</v>
      </c>
      <c r="AC8" s="2" t="str">
        <f t="shared" ref="AC8:AD8" si="15">AC7</f>
        <v>2</v>
      </c>
      <c r="AD8" s="2" t="str">
        <f t="shared" si="15"/>
        <v>25</v>
      </c>
      <c r="AE8" s="2" t="str">
        <f t="shared" si="6"/>
        <v>9</v>
      </c>
      <c r="AF8" s="2" t="str">
        <f t="shared" si="7"/>
        <v>9.5</v>
      </c>
      <c r="AG8" s="2" t="str">
        <f t="shared" si="8"/>
        <v>0.08104998293</v>
      </c>
      <c r="AH8" s="2" t="str">
        <f t="shared" si="9"/>
        <v>0.9189500171</v>
      </c>
      <c r="AI8" s="2" t="str">
        <f>VLOOKUP(AE8,B5:U51,(X8/25000),FALSE)</f>
        <v>0.7952</v>
      </c>
      <c r="AJ8" s="2" t="str">
        <f>VLOOKUP(AF8,B5:U51,(X8/25000),FALSE)</f>
        <v>0.8707</v>
      </c>
      <c r="AK8" s="2" t="str">
        <f>VLOOKUP(AE8,B5:U51,(Y8/25000),FALSE)</f>
        <v>0.8835</v>
      </c>
      <c r="AL8" s="2" t="str">
        <f>VLOOKUP(AF8,B5:U51,(Y8/25000),FALSE)</f>
        <v>0.9278</v>
      </c>
      <c r="AM8" s="2" t="str">
        <f t="shared" si="10"/>
        <v>0.8645807263</v>
      </c>
      <c r="AN8" s="2" t="str">
        <f t="shared" si="11"/>
        <v>0.9242094858</v>
      </c>
      <c r="AO8" s="2" t="str">
        <f t="shared" si="12"/>
        <v>0.8694664301</v>
      </c>
    </row>
    <row r="9" ht="12.75" customHeight="1">
      <c r="B9" s="1">
        <v>4.0</v>
      </c>
      <c r="C9" s="1">
        <v>0.01</v>
      </c>
      <c r="D9" s="1">
        <v>0.01</v>
      </c>
      <c r="E9" s="1">
        <v>0.01</v>
      </c>
      <c r="F9" s="1">
        <v>0.0135</v>
      </c>
      <c r="G9" s="1">
        <v>0.0309</v>
      </c>
      <c r="H9" s="1">
        <v>0.0943</v>
      </c>
      <c r="I9" s="1">
        <v>0.1274</v>
      </c>
      <c r="J9" s="1">
        <v>0.243357143</v>
      </c>
      <c r="K9" s="1">
        <v>0.359314286</v>
      </c>
      <c r="L9" s="1">
        <v>0.399157143</v>
      </c>
      <c r="M9" s="1">
        <v>0.439</v>
      </c>
      <c r="N9" s="1">
        <v>0.4157</v>
      </c>
      <c r="O9" s="1">
        <v>0.3924</v>
      </c>
      <c r="P9" s="1">
        <v>0.47115</v>
      </c>
      <c r="Q9" s="1">
        <v>0.5499</v>
      </c>
      <c r="R9" s="1">
        <v>0.57365</v>
      </c>
      <c r="S9" s="1">
        <v>0.5974</v>
      </c>
      <c r="T9" s="1">
        <v>0.6719</v>
      </c>
      <c r="U9" s="1">
        <v>0.7464</v>
      </c>
      <c r="W9" s="2" t="str">
        <f>IF('расчет'!R27&lt;50000,50000,'расчет'!R27)</f>
        <v>148436.2342</v>
      </c>
      <c r="X9" s="2" t="str">
        <f t="shared" si="1"/>
        <v>125000</v>
      </c>
      <c r="Y9" s="2" t="str">
        <f t="shared" si="2"/>
        <v>150000</v>
      </c>
      <c r="Z9" s="2" t="str">
        <f t="shared" si="3"/>
        <v>0.06255063385</v>
      </c>
      <c r="AA9" s="2" t="str">
        <f t="shared" si="4"/>
        <v>0.9374493661</v>
      </c>
      <c r="AB9" s="2" t="str">
        <f>'расчет'!P27</f>
        <v>9.880167544</v>
      </c>
      <c r="AC9" s="2" t="str">
        <f t="shared" ref="AC9:AD9" si="16">AC8</f>
        <v>2</v>
      </c>
      <c r="AD9" s="2" t="str">
        <f t="shared" si="16"/>
        <v>25</v>
      </c>
      <c r="AE9" s="2" t="str">
        <f t="shared" si="6"/>
        <v>9.5</v>
      </c>
      <c r="AF9" s="2" t="str">
        <f t="shared" si="7"/>
        <v>10</v>
      </c>
      <c r="AG9" s="2" t="str">
        <f t="shared" si="8"/>
        <v>0.2396649114</v>
      </c>
      <c r="AH9" s="2" t="str">
        <f t="shared" si="9"/>
        <v>0.7603350886</v>
      </c>
      <c r="AI9" s="2" t="str">
        <f>VLOOKUP(AE9,B5:U51,(X9/25000),FALSE)</f>
        <v>0.8827</v>
      </c>
      <c r="AJ9" s="2" t="str">
        <f>VLOOKUP(AF9,B5:U51,(X9/25000),FALSE)</f>
        <v>0.965</v>
      </c>
      <c r="AK9" s="2" t="str">
        <f>VLOOKUP(AE9,B5:U51,(Y9/25000),FALSE)</f>
        <v>0.8707</v>
      </c>
      <c r="AL9" s="2" t="str">
        <f>VLOOKUP(AF9,B5:U51,(Y9/25000),FALSE)</f>
        <v>1.0091</v>
      </c>
      <c r="AM9" s="2" t="str">
        <f t="shared" si="10"/>
        <v>0.9452755778</v>
      </c>
      <c r="AN9" s="2" t="str">
        <f t="shared" si="11"/>
        <v>0.9759303763</v>
      </c>
      <c r="AO9" s="2" t="str">
        <f t="shared" si="12"/>
        <v>0.9740128992</v>
      </c>
    </row>
    <row r="10" ht="12.75" customHeight="1">
      <c r="B10" s="1">
        <v>4.5</v>
      </c>
      <c r="C10" s="1">
        <v>0.01</v>
      </c>
      <c r="D10" s="1">
        <v>0.04015</v>
      </c>
      <c r="E10" s="1">
        <v>0.0685</v>
      </c>
      <c r="F10" s="1">
        <v>0.0787</v>
      </c>
      <c r="G10" s="1">
        <v>0.1056</v>
      </c>
      <c r="H10" s="1">
        <v>0.0956</v>
      </c>
      <c r="I10" s="1">
        <v>0.206728571</v>
      </c>
      <c r="J10" s="1">
        <v>0.311635714</v>
      </c>
      <c r="K10" s="1">
        <v>0.416542857</v>
      </c>
      <c r="L10" s="1">
        <v>0.414421429</v>
      </c>
      <c r="M10" s="1">
        <v>0.4123</v>
      </c>
      <c r="N10" s="1">
        <v>0.47865</v>
      </c>
      <c r="O10" s="1">
        <v>0.545</v>
      </c>
      <c r="P10" s="1">
        <v>0.61135</v>
      </c>
      <c r="Q10" s="1">
        <v>0.6777</v>
      </c>
      <c r="R10" s="1">
        <v>0.69805</v>
      </c>
      <c r="S10" s="1">
        <v>0.7184</v>
      </c>
      <c r="T10" s="1">
        <v>0.80405</v>
      </c>
      <c r="U10" s="1">
        <v>0.8897</v>
      </c>
      <c r="W10" s="2" t="str">
        <f>IF('расчет'!R28&lt;50000,50000,'расчет'!R28)</f>
        <v>144372.9701</v>
      </c>
      <c r="X10" s="2" t="str">
        <f t="shared" si="1"/>
        <v>125000</v>
      </c>
      <c r="Y10" s="2" t="str">
        <f t="shared" si="2"/>
        <v>150000</v>
      </c>
      <c r="Z10" s="2" t="str">
        <f t="shared" si="3"/>
        <v>0.2250811965</v>
      </c>
      <c r="AA10" s="2" t="str">
        <f t="shared" si="4"/>
        <v>0.7749188035</v>
      </c>
      <c r="AB10" s="2" t="str">
        <f>'расчет'!P28</f>
        <v>10.2479629</v>
      </c>
      <c r="AC10" s="2" t="str">
        <f t="shared" ref="AC10:AD10" si="17">AC9</f>
        <v>2</v>
      </c>
      <c r="AD10" s="2" t="str">
        <f t="shared" si="17"/>
        <v>25</v>
      </c>
      <c r="AE10" s="2" t="str">
        <f t="shared" si="6"/>
        <v>10</v>
      </c>
      <c r="AF10" s="2" t="str">
        <f t="shared" si="7"/>
        <v>10.5</v>
      </c>
      <c r="AG10" s="2" t="str">
        <f t="shared" si="8"/>
        <v>0.5040741949</v>
      </c>
      <c r="AH10" s="2" t="str">
        <f t="shared" si="9"/>
        <v>0.4959258051</v>
      </c>
      <c r="AI10" s="2" t="str">
        <f>VLOOKUP(AE10,B5:U51,(X10/25000),FALSE)</f>
        <v>0.965</v>
      </c>
      <c r="AJ10" s="2" t="str">
        <f>VLOOKUP(AF10,B5:U51,(X10/25000),FALSE)</f>
        <v>0.9791</v>
      </c>
      <c r="AK10" s="2" t="str">
        <f>VLOOKUP(AE10,B5:U51,(Y10/25000),FALSE)</f>
        <v>1.0091</v>
      </c>
      <c r="AL10" s="2" t="str">
        <f>VLOOKUP(AF10,B5:U51,(Y10/25000),FALSE)</f>
        <v>1.1622</v>
      </c>
      <c r="AM10" s="2" t="str">
        <f t="shared" si="10"/>
        <v>0.9719925539</v>
      </c>
      <c r="AN10" s="2" t="str">
        <f t="shared" si="11"/>
        <v>1.085026241</v>
      </c>
      <c r="AO10" s="2" t="str">
        <f t="shared" si="12"/>
        <v>1.059584483</v>
      </c>
    </row>
    <row r="11" ht="12.75" customHeight="1">
      <c r="B11" s="1">
        <v>5.0</v>
      </c>
      <c r="C11" s="1">
        <v>0.0576</v>
      </c>
      <c r="D11" s="1">
        <v>0.0495</v>
      </c>
      <c r="E11" s="1">
        <v>0.158</v>
      </c>
      <c r="F11" s="1">
        <v>0.17805</v>
      </c>
      <c r="G11" s="1">
        <v>0.164</v>
      </c>
      <c r="H11" s="1">
        <v>0.2035</v>
      </c>
      <c r="I11" s="1">
        <v>0.286057143</v>
      </c>
      <c r="J11" s="1">
        <v>0.379914286</v>
      </c>
      <c r="K11" s="1">
        <v>0.473771429</v>
      </c>
      <c r="L11" s="1">
        <v>0.489785714</v>
      </c>
      <c r="M11" s="1">
        <v>0.5058</v>
      </c>
      <c r="N11" s="1">
        <v>0.573525</v>
      </c>
      <c r="O11" s="1">
        <v>0.64125</v>
      </c>
      <c r="P11" s="1">
        <v>0.708975</v>
      </c>
      <c r="Q11" s="1">
        <v>0.7767</v>
      </c>
      <c r="R11" s="1">
        <v>0.8113</v>
      </c>
      <c r="S11" s="1">
        <v>0.8459</v>
      </c>
      <c r="T11" s="1">
        <v>0.92755</v>
      </c>
      <c r="U11" s="1">
        <v>1.0092</v>
      </c>
      <c r="W11" s="2" t="str">
        <f>IF('расчет'!R29&lt;50000,50000,'расчет'!R29)</f>
        <v>139766.3665</v>
      </c>
      <c r="X11" s="2" t="str">
        <f t="shared" si="1"/>
        <v>125000</v>
      </c>
      <c r="Y11" s="2" t="str">
        <f t="shared" si="2"/>
        <v>150000</v>
      </c>
      <c r="Z11" s="2" t="str">
        <f t="shared" si="3"/>
        <v>0.4093453385</v>
      </c>
      <c r="AA11" s="2" t="str">
        <f t="shared" si="4"/>
        <v>0.5906546615</v>
      </c>
      <c r="AB11" s="2" t="str">
        <f>'расчет'!P29</f>
        <v>10.5809717</v>
      </c>
      <c r="AC11" s="2" t="str">
        <f t="shared" ref="AC11:AD11" si="18">AC10</f>
        <v>2</v>
      </c>
      <c r="AD11" s="2" t="str">
        <f t="shared" si="18"/>
        <v>25</v>
      </c>
      <c r="AE11" s="2" t="str">
        <f t="shared" si="6"/>
        <v>10.5</v>
      </c>
      <c r="AF11" s="2" t="str">
        <f t="shared" si="7"/>
        <v>11</v>
      </c>
      <c r="AG11" s="2" t="str">
        <f t="shared" si="8"/>
        <v>0.8380565967</v>
      </c>
      <c r="AH11" s="2" t="str">
        <f t="shared" si="9"/>
        <v>0.1619434033</v>
      </c>
      <c r="AI11" s="2" t="str">
        <f>VLOOKUP(AE11,B5:U51,(X11/25000),FALSE)</f>
        <v>0.9791</v>
      </c>
      <c r="AJ11" s="2" t="str">
        <f>VLOOKUP(AF11,B5:U51,(X11/25000),FALSE)</f>
        <v>1.0646</v>
      </c>
      <c r="AK11" s="2" t="str">
        <f>VLOOKUP(AE11,B5:U51,(Y11/25000),FALSE)</f>
        <v>1.1622</v>
      </c>
      <c r="AL11" s="2" t="str">
        <f>VLOOKUP(AF11,B5:U51,(Y11/25000),FALSE)</f>
        <v>1.0951</v>
      </c>
      <c r="AM11" s="2" t="str">
        <f t="shared" si="10"/>
        <v>0.992946161</v>
      </c>
      <c r="AN11" s="2" t="str">
        <f t="shared" si="11"/>
        <v>1.151333598</v>
      </c>
      <c r="AO11" s="2" t="str">
        <f t="shared" si="12"/>
        <v>1.086498439</v>
      </c>
    </row>
    <row r="12" ht="12.75" customHeight="1">
      <c r="B12" s="1">
        <v>5.5</v>
      </c>
      <c r="C12" s="1">
        <v>0.121</v>
      </c>
      <c r="D12" s="1">
        <v>0.0637</v>
      </c>
      <c r="E12" s="1">
        <v>0.1584</v>
      </c>
      <c r="F12" s="1">
        <v>0.2774</v>
      </c>
      <c r="G12" s="1">
        <v>0.2648</v>
      </c>
      <c r="H12" s="1">
        <v>0.2662</v>
      </c>
      <c r="I12" s="1">
        <v>0.365385714</v>
      </c>
      <c r="J12" s="1">
        <v>0.448192857</v>
      </c>
      <c r="K12" s="1">
        <v>0.531</v>
      </c>
      <c r="L12" s="1">
        <v>0.5742</v>
      </c>
      <c r="M12" s="1">
        <v>0.6174</v>
      </c>
      <c r="N12" s="1">
        <v>0.68805</v>
      </c>
      <c r="O12" s="1">
        <v>0.7587</v>
      </c>
      <c r="P12" s="1">
        <v>0.82935</v>
      </c>
      <c r="Q12" s="1">
        <v>0.9</v>
      </c>
      <c r="R12" s="1">
        <v>0.93105</v>
      </c>
      <c r="S12" s="1">
        <v>0.9621</v>
      </c>
      <c r="T12" s="1">
        <v>1.0585</v>
      </c>
      <c r="U12" s="1">
        <v>1.1549</v>
      </c>
      <c r="W12" s="2" t="str">
        <f>IF('расчет'!R30&lt;50000,50000,'расчет'!R30)</f>
        <v>134527.6688</v>
      </c>
      <c r="X12" s="2" t="str">
        <f t="shared" si="1"/>
        <v>125000</v>
      </c>
      <c r="Y12" s="2" t="str">
        <f t="shared" si="2"/>
        <v>150000</v>
      </c>
      <c r="Z12" s="2" t="str">
        <f t="shared" si="3"/>
        <v>0.6188932465</v>
      </c>
      <c r="AA12" s="2" t="str">
        <f t="shared" si="4"/>
        <v>0.3811067535</v>
      </c>
      <c r="AB12" s="2" t="str">
        <f>'расчет'!P30</f>
        <v>10.90349584</v>
      </c>
      <c r="AC12" s="2" t="str">
        <f t="shared" ref="AC12:AD12" si="19">AC11</f>
        <v>2</v>
      </c>
      <c r="AD12" s="2" t="str">
        <f t="shared" si="19"/>
        <v>25</v>
      </c>
      <c r="AE12" s="2" t="str">
        <f t="shared" si="6"/>
        <v>10.5</v>
      </c>
      <c r="AF12" s="2" t="str">
        <f t="shared" si="7"/>
        <v>11</v>
      </c>
      <c r="AG12" s="2" t="str">
        <f t="shared" si="8"/>
        <v>0.1930083163</v>
      </c>
      <c r="AH12" s="2" t="str">
        <f t="shared" si="9"/>
        <v>0.8069916837</v>
      </c>
      <c r="AI12" s="2" t="str">
        <f>VLOOKUP(AE12,B5:U51,(X12/25000),FALSE)</f>
        <v>0.9791</v>
      </c>
      <c r="AJ12" s="2" t="str">
        <f>VLOOKUP(AF12,B5:U51,(X12/25000),FALSE)</f>
        <v>1.0646</v>
      </c>
      <c r="AK12" s="2" t="str">
        <f>VLOOKUP(AE12,B5:U51,(Y12/25000),FALSE)</f>
        <v>1.1622</v>
      </c>
      <c r="AL12" s="2" t="str">
        <f>VLOOKUP(AF12,B5:U51,(Y12/25000),FALSE)</f>
        <v>1.0951</v>
      </c>
      <c r="AM12" s="2" t="str">
        <f t="shared" si="10"/>
        <v>1.048097789</v>
      </c>
      <c r="AN12" s="2" t="str">
        <f t="shared" si="11"/>
        <v>1.108050858</v>
      </c>
      <c r="AO12" s="2" t="str">
        <f t="shared" si="12"/>
        <v>1.070946308</v>
      </c>
    </row>
    <row r="13" ht="12.75" customHeight="1">
      <c r="B13" s="1">
        <v>6.0</v>
      </c>
      <c r="C13" s="1">
        <v>0.1844</v>
      </c>
      <c r="D13" s="1">
        <v>0.1229</v>
      </c>
      <c r="E13" s="1">
        <v>0.2232</v>
      </c>
      <c r="F13" s="1">
        <v>0.2443</v>
      </c>
      <c r="G13" s="1">
        <v>0.2666</v>
      </c>
      <c r="H13" s="1">
        <v>0.289</v>
      </c>
      <c r="I13" s="1">
        <v>0.444714286</v>
      </c>
      <c r="J13" s="1">
        <v>0.545057143</v>
      </c>
      <c r="K13" s="1">
        <v>0.6454</v>
      </c>
      <c r="L13" s="1">
        <v>0.70965</v>
      </c>
      <c r="M13" s="1">
        <v>0.7739</v>
      </c>
      <c r="N13" s="1">
        <v>0.841025</v>
      </c>
      <c r="O13" s="1">
        <v>0.90815</v>
      </c>
      <c r="P13" s="1">
        <v>0.975275</v>
      </c>
      <c r="Q13" s="1">
        <v>1.0424</v>
      </c>
      <c r="R13" s="1">
        <v>1.104725</v>
      </c>
      <c r="S13" s="1">
        <v>1.16705</v>
      </c>
      <c r="T13" s="1">
        <v>1.229375</v>
      </c>
      <c r="U13" s="1">
        <v>1.2917</v>
      </c>
      <c r="W13" s="2" t="str">
        <f>IF('расчет'!R31&lt;50000,50000,'расчет'!R31)</f>
        <v>128573.0727</v>
      </c>
      <c r="X13" s="2" t="str">
        <f t="shared" si="1"/>
        <v>125000</v>
      </c>
      <c r="Y13" s="2" t="str">
        <f t="shared" si="2"/>
        <v>150000</v>
      </c>
      <c r="Z13" s="2" t="str">
        <f t="shared" si="3"/>
        <v>0.8570770934</v>
      </c>
      <c r="AA13" s="2" t="str">
        <f t="shared" si="4"/>
        <v>0.1429229066</v>
      </c>
      <c r="AB13" s="2" t="str">
        <f>'расчет'!P31</f>
        <v>11.24863784</v>
      </c>
      <c r="AC13" s="2" t="str">
        <f t="shared" ref="AC13:AD13" si="20">AC12</f>
        <v>2</v>
      </c>
      <c r="AD13" s="2" t="str">
        <f t="shared" si="20"/>
        <v>25</v>
      </c>
      <c r="AE13" s="2" t="str">
        <f t="shared" si="6"/>
        <v>11</v>
      </c>
      <c r="AF13" s="2" t="str">
        <f t="shared" si="7"/>
        <v>11.5</v>
      </c>
      <c r="AG13" s="2" t="str">
        <f t="shared" si="8"/>
        <v>0.5027243149</v>
      </c>
      <c r="AH13" s="2" t="str">
        <f t="shared" si="9"/>
        <v>0.4972756851</v>
      </c>
      <c r="AI13" s="2" t="str">
        <f>VLOOKUP(AE13,B5:U51,(X13/25000),FALSE)</f>
        <v>1.0646</v>
      </c>
      <c r="AJ13" s="2" t="str">
        <f>VLOOKUP(AF13,B5:U51,(X13/25000),FALSE)</f>
        <v>1.1597</v>
      </c>
      <c r="AK13" s="2" t="str">
        <f>VLOOKUP(AE13,B5:U51,(Y13/25000),FALSE)</f>
        <v>1.0951</v>
      </c>
      <c r="AL13" s="2" t="str">
        <f>VLOOKUP(AF13,B5:U51,(Y13/25000),FALSE)</f>
        <v>1.1642</v>
      </c>
      <c r="AM13" s="2" t="str">
        <f t="shared" si="10"/>
        <v>1.111890918</v>
      </c>
      <c r="AN13" s="2" t="str">
        <f t="shared" si="11"/>
        <v>1.12946175</v>
      </c>
      <c r="AO13" s="2" t="str">
        <f t="shared" si="12"/>
        <v>1.114402192</v>
      </c>
    </row>
    <row r="14" ht="12.75" customHeight="1">
      <c r="B14" s="1">
        <v>6.5</v>
      </c>
      <c r="C14" s="1">
        <v>0.258</v>
      </c>
      <c r="D14" s="1">
        <v>0.1964</v>
      </c>
      <c r="E14" s="1">
        <v>0.3165</v>
      </c>
      <c r="F14" s="1">
        <v>0.3366</v>
      </c>
      <c r="G14" s="1">
        <v>0.4011</v>
      </c>
      <c r="H14" s="1">
        <v>0.3845</v>
      </c>
      <c r="I14" s="1">
        <v>0.524042857</v>
      </c>
      <c r="J14" s="1">
        <v>0.608396429</v>
      </c>
      <c r="K14" s="1">
        <v>0.69275</v>
      </c>
      <c r="L14" s="1">
        <v>0.785325</v>
      </c>
      <c r="M14" s="1">
        <v>0.8779</v>
      </c>
      <c r="N14" s="1">
        <v>0.956125</v>
      </c>
      <c r="O14" s="1">
        <v>1.03435</v>
      </c>
      <c r="P14" s="1">
        <v>1.112575</v>
      </c>
      <c r="Q14" s="1">
        <v>1.1908</v>
      </c>
      <c r="R14" s="1">
        <v>1.215133929</v>
      </c>
      <c r="S14" s="1">
        <v>1.239467857</v>
      </c>
      <c r="T14" s="1">
        <v>1.313083929</v>
      </c>
      <c r="U14" s="1">
        <v>1.3867</v>
      </c>
      <c r="W14" s="2" t="str">
        <f>IF('расчет'!R32&lt;50000,50000,'расчет'!R32)</f>
        <v>121825.3118</v>
      </c>
      <c r="X14" s="2" t="str">
        <f t="shared" si="1"/>
        <v>100000</v>
      </c>
      <c r="Y14" s="2" t="str">
        <f t="shared" si="2"/>
        <v>125000</v>
      </c>
      <c r="Z14" s="2" t="str">
        <f t="shared" si="3"/>
        <v>0.1269875283</v>
      </c>
      <c r="AA14" s="2" t="str">
        <f t="shared" si="4"/>
        <v>0.8730124717</v>
      </c>
      <c r="AB14" s="2" t="str">
        <f>'расчет'!P32</f>
        <v>11.66229685</v>
      </c>
      <c r="AC14" s="2" t="str">
        <f t="shared" ref="AC14:AD14" si="21">AC13</f>
        <v>2</v>
      </c>
      <c r="AD14" s="2" t="str">
        <f t="shared" si="21"/>
        <v>25</v>
      </c>
      <c r="AE14" s="2" t="str">
        <f t="shared" si="6"/>
        <v>11.5</v>
      </c>
      <c r="AF14" s="2" t="str">
        <f t="shared" si="7"/>
        <v>12</v>
      </c>
      <c r="AG14" s="2" t="str">
        <f t="shared" si="8"/>
        <v>0.6754062992</v>
      </c>
      <c r="AH14" s="2" t="str">
        <f t="shared" si="9"/>
        <v>0.3245937008</v>
      </c>
      <c r="AI14" s="2" t="str">
        <f>VLOOKUP(AE14,B5:U51,(X14/25000),FALSE)</f>
        <v>1.1024</v>
      </c>
      <c r="AJ14" s="2" t="str">
        <f>VLOOKUP(AF14,B5:U51,(X14/25000),FALSE)</f>
        <v>1.206</v>
      </c>
      <c r="AK14" s="2" t="str">
        <f>VLOOKUP(AE14,B5:U51,(Y14/25000),FALSE)</f>
        <v>1.1597</v>
      </c>
      <c r="AL14" s="2" t="str">
        <f>VLOOKUP(AF14,B5:U51,(Y14/25000),FALSE)</f>
        <v>1.2509</v>
      </c>
      <c r="AM14" s="2" t="str">
        <f t="shared" si="10"/>
        <v>1.136027907</v>
      </c>
      <c r="AN14" s="2" t="str">
        <f t="shared" si="11"/>
        <v>1.189302946</v>
      </c>
      <c r="AO14" s="2" t="str">
        <f t="shared" si="12"/>
        <v>1.18253768</v>
      </c>
    </row>
    <row r="15" ht="12.75" customHeight="1">
      <c r="B15" s="1">
        <v>7.0</v>
      </c>
      <c r="C15" s="1">
        <v>0.2942</v>
      </c>
      <c r="D15" s="1">
        <v>0.2798</v>
      </c>
      <c r="E15" s="1">
        <v>0.4095</v>
      </c>
      <c r="F15" s="1">
        <v>0.4736</v>
      </c>
      <c r="G15" s="1">
        <v>0.4873</v>
      </c>
      <c r="H15" s="1">
        <v>0.5468</v>
      </c>
      <c r="I15" s="1">
        <v>0.603371429</v>
      </c>
      <c r="J15" s="1">
        <v>0.671735714</v>
      </c>
      <c r="K15" s="1">
        <v>0.7401</v>
      </c>
      <c r="L15" s="1">
        <v>0.82488125</v>
      </c>
      <c r="M15" s="1">
        <v>0.9096625</v>
      </c>
      <c r="N15" s="1">
        <v>0.99444375</v>
      </c>
      <c r="O15" s="1">
        <v>1.079225</v>
      </c>
      <c r="P15" s="1">
        <v>1.1920625</v>
      </c>
      <c r="Q15" s="1">
        <v>1.3049</v>
      </c>
      <c r="R15" s="1">
        <v>1.308392857</v>
      </c>
      <c r="S15" s="1">
        <v>1.311885714</v>
      </c>
      <c r="T15" s="1">
        <v>1.396792857</v>
      </c>
      <c r="U15" s="1">
        <v>1.4817</v>
      </c>
      <c r="W15" s="2" t="str">
        <f>IF('расчет'!R33&lt;50000,50000,'расчет'!R33)</f>
        <v>114215.2829</v>
      </c>
      <c r="X15" s="2" t="str">
        <f t="shared" si="1"/>
        <v>100000</v>
      </c>
      <c r="Y15" s="2" t="str">
        <f t="shared" si="2"/>
        <v>125000</v>
      </c>
      <c r="Z15" s="2" t="str">
        <f t="shared" si="3"/>
        <v>0.4313886844</v>
      </c>
      <c r="AA15" s="2" t="str">
        <f t="shared" si="4"/>
        <v>0.5686113156</v>
      </c>
      <c r="AB15" s="2" t="str">
        <f>'расчет'!P33</f>
        <v>12.20946957</v>
      </c>
      <c r="AC15" s="2" t="str">
        <f t="shared" ref="AC15:AD15" si="22">AC14</f>
        <v>2</v>
      </c>
      <c r="AD15" s="2" t="str">
        <f t="shared" si="22"/>
        <v>25</v>
      </c>
      <c r="AE15" s="2" t="str">
        <f t="shared" si="6"/>
        <v>12</v>
      </c>
      <c r="AF15" s="2" t="str">
        <f t="shared" si="7"/>
        <v>12.5</v>
      </c>
      <c r="AG15" s="2" t="str">
        <f t="shared" si="8"/>
        <v>0.5810608514</v>
      </c>
      <c r="AH15" s="2" t="str">
        <f t="shared" si="9"/>
        <v>0.4189391486</v>
      </c>
      <c r="AI15" s="2" t="str">
        <f>VLOOKUP(AE15,B5:U51,(X15/25000),FALSE)</f>
        <v>1.206</v>
      </c>
      <c r="AJ15" s="2" t="str">
        <f>VLOOKUP(AF15,B5:U51,(X15/25000),FALSE)</f>
        <v>1.1909</v>
      </c>
      <c r="AK15" s="2" t="str">
        <f>VLOOKUP(AE15,B5:U51,(Y15/25000),FALSE)</f>
        <v>1.2509</v>
      </c>
      <c r="AL15" s="2" t="str">
        <f>VLOOKUP(AF15,B5:U51,(Y15/25000),FALSE)</f>
        <v>1.2162</v>
      </c>
      <c r="AM15" s="2" t="str">
        <f t="shared" si="10"/>
        <v>1.199674019</v>
      </c>
      <c r="AN15" s="2" t="str">
        <f t="shared" si="11"/>
        <v>1.236362812</v>
      </c>
      <c r="AO15" s="2" t="str">
        <f t="shared" si="12"/>
        <v>1.220535682</v>
      </c>
    </row>
    <row r="16" ht="12.75" customHeight="1">
      <c r="B16" s="1">
        <v>7.5</v>
      </c>
      <c r="C16" s="1">
        <v>0.4297</v>
      </c>
      <c r="D16" s="1">
        <v>0.2858</v>
      </c>
      <c r="E16" s="1">
        <v>0.5919</v>
      </c>
      <c r="F16" s="1">
        <v>0.5069</v>
      </c>
      <c r="G16" s="1">
        <v>0.4986</v>
      </c>
      <c r="H16" s="1">
        <v>0.675</v>
      </c>
      <c r="I16" s="1">
        <v>0.6827</v>
      </c>
      <c r="J16" s="1">
        <v>0.77805</v>
      </c>
      <c r="K16" s="1">
        <v>0.8734</v>
      </c>
      <c r="L16" s="1">
        <v>0.936075</v>
      </c>
      <c r="M16" s="1">
        <v>0.99875</v>
      </c>
      <c r="N16" s="1">
        <v>1.061425</v>
      </c>
      <c r="O16" s="1">
        <v>1.1241</v>
      </c>
      <c r="P16" s="1">
        <v>1.27815</v>
      </c>
      <c r="Q16" s="1">
        <v>1.4322</v>
      </c>
      <c r="R16" s="1">
        <v>1.408251786</v>
      </c>
      <c r="S16" s="1">
        <v>1.384303571</v>
      </c>
      <c r="T16" s="1">
        <v>1.480501786</v>
      </c>
      <c r="U16" s="1">
        <v>1.5767</v>
      </c>
      <c r="W16" s="2" t="str">
        <f>IF('расчет'!R34&lt;50000,50000,'расчет'!R34)</f>
        <v>105683.6102</v>
      </c>
      <c r="X16" s="2" t="str">
        <f t="shared" si="1"/>
        <v>100000</v>
      </c>
      <c r="Y16" s="2" t="str">
        <f t="shared" si="2"/>
        <v>125000</v>
      </c>
      <c r="Z16" s="2" t="str">
        <f t="shared" si="3"/>
        <v>0.7726555915</v>
      </c>
      <c r="AA16" s="2" t="str">
        <f t="shared" si="4"/>
        <v>0.2273444085</v>
      </c>
      <c r="AB16" s="2" t="str">
        <f>'расчет'!P34</f>
        <v>12.98450331</v>
      </c>
      <c r="AC16" s="2" t="str">
        <f t="shared" ref="AC16:AD16" si="23">AC15</f>
        <v>2</v>
      </c>
      <c r="AD16" s="2" t="str">
        <f t="shared" si="23"/>
        <v>25</v>
      </c>
      <c r="AE16" s="2" t="str">
        <f t="shared" si="6"/>
        <v>12.5</v>
      </c>
      <c r="AF16" s="2" t="str">
        <f t="shared" si="7"/>
        <v>13</v>
      </c>
      <c r="AG16" s="2" t="str">
        <f t="shared" si="8"/>
        <v>0.03099337527</v>
      </c>
      <c r="AH16" s="2" t="str">
        <f t="shared" si="9"/>
        <v>0.9690066247</v>
      </c>
      <c r="AI16" s="2" t="str">
        <f>VLOOKUP(AE16,B5:U51,(X16/25000),FALSE)</f>
        <v>1.1909</v>
      </c>
      <c r="AJ16" s="2" t="str">
        <f>VLOOKUP(AF16,B5:U51,(X16/25000),FALSE)</f>
        <v>1.2498</v>
      </c>
      <c r="AK16" s="2" t="str">
        <f>VLOOKUP(AE16,B5:U51,(Y16/25000),FALSE)</f>
        <v>1.2162</v>
      </c>
      <c r="AL16" s="2" t="str">
        <f>VLOOKUP(AF16,B5:U51,(Y16/25000),FALSE)</f>
        <v>1.2771</v>
      </c>
      <c r="AM16" s="2" t="str">
        <f t="shared" si="10"/>
        <v>1.24797449</v>
      </c>
      <c r="AN16" s="2" t="str">
        <f t="shared" si="11"/>
        <v>1.275212503</v>
      </c>
      <c r="AO16" s="2" t="str">
        <f t="shared" si="12"/>
        <v>1.2541669</v>
      </c>
    </row>
    <row r="17" ht="12.75" customHeight="1">
      <c r="B17" s="1">
        <v>8.0</v>
      </c>
      <c r="C17" s="1">
        <v>0.4741</v>
      </c>
      <c r="D17" s="1">
        <v>0.3954</v>
      </c>
      <c r="E17" s="1">
        <v>0.5595</v>
      </c>
      <c r="F17" s="1">
        <v>0.5788</v>
      </c>
      <c r="G17" s="1">
        <v>0.6471</v>
      </c>
      <c r="H17" s="1">
        <v>0.6351</v>
      </c>
      <c r="I17" s="1">
        <v>0.8279</v>
      </c>
      <c r="J17" s="1">
        <v>0.9004</v>
      </c>
      <c r="K17" s="1">
        <v>0.9729</v>
      </c>
      <c r="L17" s="1">
        <v>1.02191875</v>
      </c>
      <c r="M17" s="1">
        <v>1.0709375</v>
      </c>
      <c r="N17" s="1">
        <v>1.11995625</v>
      </c>
      <c r="O17" s="1">
        <v>1.168975</v>
      </c>
      <c r="P17" s="1">
        <v>1.240911607</v>
      </c>
      <c r="Q17" s="1">
        <v>1.312848214</v>
      </c>
      <c r="R17" s="1">
        <v>1.384784821</v>
      </c>
      <c r="S17" s="1">
        <v>1.456721429</v>
      </c>
      <c r="T17" s="1">
        <v>1.564210714</v>
      </c>
      <c r="U17" s="1">
        <v>1.6717</v>
      </c>
      <c r="W17" s="2" t="str">
        <f>IF('расчет'!R35&lt;50000,50000,'расчет'!R35)</f>
        <v>96182.02339</v>
      </c>
      <c r="X17" s="2" t="str">
        <f t="shared" si="1"/>
        <v>75000</v>
      </c>
      <c r="Y17" s="2" t="str">
        <f t="shared" si="2"/>
        <v>100000</v>
      </c>
      <c r="Z17" s="2" t="str">
        <f t="shared" si="3"/>
        <v>0.1527190645</v>
      </c>
      <c r="AA17" s="2" t="str">
        <f t="shared" si="4"/>
        <v>0.8472809355</v>
      </c>
      <c r="AB17" s="2" t="str">
        <f>'расчет'!P35</f>
        <v>14.12833628</v>
      </c>
      <c r="AC17" s="2" t="str">
        <f t="shared" ref="AC17:AD17" si="24">AC16</f>
        <v>2</v>
      </c>
      <c r="AD17" s="2" t="str">
        <f t="shared" si="24"/>
        <v>25</v>
      </c>
      <c r="AE17" s="2" t="str">
        <f t="shared" si="6"/>
        <v>14</v>
      </c>
      <c r="AF17" s="2" t="str">
        <f t="shared" si="7"/>
        <v>14.5</v>
      </c>
      <c r="AG17" s="2" t="str">
        <f t="shared" si="8"/>
        <v>0.7433274325</v>
      </c>
      <c r="AH17" s="2" t="str">
        <f t="shared" si="9"/>
        <v>0.2566725675</v>
      </c>
      <c r="AI17" s="2" t="str">
        <f>VLOOKUP(AE17,B5:U51,(X17/25000),FALSE)</f>
        <v>1.1944</v>
      </c>
      <c r="AJ17" s="2" t="str">
        <f>VLOOKUP(AF17,B5:U51,(X17/25000),FALSE)</f>
        <v>1.1682</v>
      </c>
      <c r="AK17" s="2" t="str">
        <f>VLOOKUP(AE17,B5:U51,(Y17/25000),FALSE)</f>
        <v>1.398</v>
      </c>
      <c r="AL17" s="2" t="str">
        <f>VLOOKUP(AF17,B5:U51,(Y17/25000),FALSE)</f>
        <v>1.3545</v>
      </c>
      <c r="AM17" s="2" t="str">
        <f t="shared" si="10"/>
        <v>1.187675179</v>
      </c>
      <c r="AN17" s="2" t="str">
        <f t="shared" si="11"/>
        <v>1.386834743</v>
      </c>
      <c r="AO17" s="2" t="str">
        <f t="shared" si="12"/>
        <v>1.356419281</v>
      </c>
    </row>
    <row r="18" ht="12.75" customHeight="1">
      <c r="B18" s="1">
        <v>8.5</v>
      </c>
      <c r="C18" s="1">
        <v>0.5898</v>
      </c>
      <c r="D18" s="1">
        <v>0.444</v>
      </c>
      <c r="E18" s="1">
        <v>0.6422</v>
      </c>
      <c r="F18" s="1">
        <v>0.7233</v>
      </c>
      <c r="G18" s="1">
        <v>0.72115</v>
      </c>
      <c r="H18" s="1">
        <v>0.7746</v>
      </c>
      <c r="I18" s="1">
        <v>0.9608</v>
      </c>
      <c r="J18" s="1">
        <v>1.0166</v>
      </c>
      <c r="K18" s="1">
        <v>1.0724</v>
      </c>
      <c r="L18" s="1">
        <v>1.1077625</v>
      </c>
      <c r="M18" s="1">
        <v>1.143125</v>
      </c>
      <c r="N18" s="1">
        <v>1.1784875</v>
      </c>
      <c r="O18" s="1">
        <v>1.21385</v>
      </c>
      <c r="P18" s="1">
        <v>1.292672321</v>
      </c>
      <c r="Q18" s="1">
        <v>1.371494643</v>
      </c>
      <c r="R18" s="1">
        <v>1.450316964</v>
      </c>
      <c r="S18" s="1">
        <v>1.529139286</v>
      </c>
      <c r="T18" s="1">
        <v>1.647919643</v>
      </c>
      <c r="U18" s="1">
        <v>1.7667</v>
      </c>
      <c r="W18" s="2" t="str">
        <f>IF('расчет'!R36&lt;50000,50000,'расчет'!R36)</f>
        <v>85674.39578</v>
      </c>
      <c r="X18" s="2" t="str">
        <f t="shared" si="1"/>
        <v>75000</v>
      </c>
      <c r="Y18" s="2" t="str">
        <f t="shared" si="2"/>
        <v>100000</v>
      </c>
      <c r="Z18" s="2" t="str">
        <f t="shared" si="3"/>
        <v>0.5730241689</v>
      </c>
      <c r="AA18" s="2" t="str">
        <f t="shared" si="4"/>
        <v>0.4269758311</v>
      </c>
      <c r="AB18" s="2" t="str">
        <f>'расчет'!P36</f>
        <v>15.85841006</v>
      </c>
      <c r="AC18" s="2" t="str">
        <f t="shared" ref="AC18:AD18" si="25">AC17</f>
        <v>2</v>
      </c>
      <c r="AD18" s="2" t="str">
        <f t="shared" si="25"/>
        <v>25</v>
      </c>
      <c r="AE18" s="2" t="str">
        <f t="shared" si="6"/>
        <v>15.5</v>
      </c>
      <c r="AF18" s="2" t="str">
        <f t="shared" si="7"/>
        <v>16</v>
      </c>
      <c r="AG18" s="2" t="str">
        <f t="shared" si="8"/>
        <v>0.2831798876</v>
      </c>
      <c r="AH18" s="2" t="str">
        <f t="shared" si="9"/>
        <v>0.7168201124</v>
      </c>
      <c r="AI18" s="2" t="str">
        <f>VLOOKUP(AE18,B5:U51,(X18/25000),FALSE)</f>
        <v>1.4048</v>
      </c>
      <c r="AJ18" s="2" t="str">
        <f>VLOOKUP(AF18,B5:U51,(X18/25000),FALSE)</f>
        <v>1.4592</v>
      </c>
      <c r="AK18" s="2" t="str">
        <f>VLOOKUP(AE18,B5:U51,(Y18/25000),FALSE)</f>
        <v>1.455</v>
      </c>
      <c r="AL18" s="2" t="str">
        <f>VLOOKUP(AF18,B5:U51,(Y18/25000),FALSE)</f>
        <v>1.5148</v>
      </c>
      <c r="AM18" s="2" t="str">
        <f t="shared" si="10"/>
        <v>1.443795014</v>
      </c>
      <c r="AN18" s="2" t="str">
        <f t="shared" si="11"/>
        <v>1.497865843</v>
      </c>
      <c r="AO18" s="2" t="str">
        <f t="shared" si="12"/>
        <v>1.466881951</v>
      </c>
    </row>
    <row r="19" ht="12.75" customHeight="1">
      <c r="B19" s="1">
        <v>9.0</v>
      </c>
      <c r="C19" s="1">
        <v>0.6637</v>
      </c>
      <c r="D19" s="1">
        <v>0.5732</v>
      </c>
      <c r="E19" s="1">
        <v>0.7797</v>
      </c>
      <c r="F19" s="1">
        <v>0.7376</v>
      </c>
      <c r="G19" s="1">
        <v>0.7952</v>
      </c>
      <c r="H19" s="1">
        <v>0.8835</v>
      </c>
      <c r="I19" s="1">
        <v>1.0918</v>
      </c>
      <c r="J19" s="1">
        <v>1.108296667</v>
      </c>
      <c r="K19" s="1">
        <v>1.124793333</v>
      </c>
      <c r="L19" s="1">
        <v>1.172796667</v>
      </c>
      <c r="M19" s="1">
        <v>1.2208</v>
      </c>
      <c r="N19" s="1">
        <v>1.2397625</v>
      </c>
      <c r="O19" s="1">
        <v>1.258725</v>
      </c>
      <c r="P19" s="1">
        <v>1.344433036</v>
      </c>
      <c r="Q19" s="1">
        <v>1.430141071</v>
      </c>
      <c r="R19" s="1">
        <v>1.515849107</v>
      </c>
      <c r="S19" s="1">
        <v>1.601557143</v>
      </c>
      <c r="T19" s="1">
        <v>1.731628571</v>
      </c>
      <c r="U19" s="1">
        <v>1.8617</v>
      </c>
      <c r="W19" s="2" t="str">
        <f>IF('расчет'!R37&lt;50000,50000,'расчет'!R37)</f>
        <v>74137.3012</v>
      </c>
      <c r="X19" s="2" t="str">
        <f t="shared" si="1"/>
        <v>50000</v>
      </c>
      <c r="Y19" s="2" t="str">
        <f t="shared" si="2"/>
        <v>75000</v>
      </c>
      <c r="Z19" s="2" t="str">
        <f t="shared" si="3"/>
        <v>0.03450795217</v>
      </c>
      <c r="AA19" s="2" t="str">
        <f t="shared" si="4"/>
        <v>0.9654920478</v>
      </c>
      <c r="AB19" s="2" t="str">
        <f>'расчет'!P37</f>
        <v>18.5217332</v>
      </c>
      <c r="AC19" s="2" t="str">
        <f t="shared" ref="AC19:AD19" si="26">AC18</f>
        <v>2</v>
      </c>
      <c r="AD19" s="2" t="str">
        <f t="shared" si="26"/>
        <v>25</v>
      </c>
      <c r="AE19" s="2" t="str">
        <f t="shared" si="6"/>
        <v>18.5</v>
      </c>
      <c r="AF19" s="2" t="str">
        <f t="shared" si="7"/>
        <v>19</v>
      </c>
      <c r="AG19" s="2" t="str">
        <f t="shared" si="8"/>
        <v>0.9565335919</v>
      </c>
      <c r="AH19" s="2" t="str">
        <f t="shared" si="9"/>
        <v>0.0434664081</v>
      </c>
      <c r="AI19" s="2" t="str">
        <f>VLOOKUP(AE19,B5:U51,(X19/25000),FALSE)</f>
        <v>1.5317</v>
      </c>
      <c r="AJ19" s="2" t="str">
        <f>VLOOKUP(AF19,B5:U51,(X19/25000),FALSE)</f>
        <v>1.5393</v>
      </c>
      <c r="AK19" s="2" t="str">
        <f>VLOOKUP(AE19,B5:U51,(Y19/25000),FALSE)</f>
        <v>1.549711111</v>
      </c>
      <c r="AL19" s="2" t="str">
        <f>VLOOKUP(AF19,B5:U51,(Y19/25000),FALSE)</f>
        <v>1.5622</v>
      </c>
      <c r="AM19" s="2" t="str">
        <f t="shared" si="10"/>
        <v>1.532030345</v>
      </c>
      <c r="AN19" s="2" t="str">
        <f t="shared" si="11"/>
        <v>1.550253958</v>
      </c>
      <c r="AO19" s="2" t="str">
        <f t="shared" si="12"/>
        <v>1.549625099</v>
      </c>
    </row>
    <row r="20" ht="12.75" customHeight="1">
      <c r="B20" s="1">
        <v>9.5</v>
      </c>
      <c r="C20" s="1">
        <v>0.7078</v>
      </c>
      <c r="D20" s="1">
        <v>0.6431</v>
      </c>
      <c r="E20" s="1">
        <v>0.7875</v>
      </c>
      <c r="F20" s="1">
        <v>0.8827</v>
      </c>
      <c r="G20" s="1">
        <v>0.8707</v>
      </c>
      <c r="H20" s="1">
        <v>0.9278</v>
      </c>
      <c r="I20" s="1">
        <v>1.2188</v>
      </c>
      <c r="J20" s="1">
        <v>1.197993333</v>
      </c>
      <c r="K20" s="1">
        <v>1.177186667</v>
      </c>
      <c r="L20" s="1">
        <v>1.241943333</v>
      </c>
      <c r="M20" s="1">
        <v>1.3067</v>
      </c>
      <c r="N20" s="1">
        <v>1.30515</v>
      </c>
      <c r="O20" s="1">
        <v>1.3036</v>
      </c>
      <c r="P20" s="1">
        <v>1.39619375</v>
      </c>
      <c r="Q20" s="1">
        <v>1.4887875</v>
      </c>
      <c r="R20" s="1">
        <v>1.58138125</v>
      </c>
      <c r="S20" s="1">
        <v>1.673975</v>
      </c>
      <c r="T20" s="1">
        <v>1.8153375</v>
      </c>
      <c r="U20" s="1">
        <v>1.9567</v>
      </c>
      <c r="W20" s="2" t="str">
        <f>IF('расчет'!R38&lt;50000,50000,'расчет'!R38)</f>
        <v>61560.12526</v>
      </c>
      <c r="X20" s="2" t="str">
        <f t="shared" si="1"/>
        <v>50000</v>
      </c>
      <c r="Y20" s="2" t="str">
        <f t="shared" si="2"/>
        <v>75000</v>
      </c>
      <c r="Z20" s="2" t="str">
        <f t="shared" si="3"/>
        <v>0.5375949897</v>
      </c>
      <c r="AA20" s="2" t="str">
        <f t="shared" si="4"/>
        <v>0.4624050103</v>
      </c>
      <c r="AB20" s="2" t="str">
        <f>'расчет'!P38</f>
        <v>22.68814529</v>
      </c>
      <c r="AC20" s="2" t="str">
        <f t="shared" ref="AC20:AD20" si="27">AC19</f>
        <v>2</v>
      </c>
      <c r="AD20" s="2" t="str">
        <f t="shared" si="27"/>
        <v>25</v>
      </c>
      <c r="AE20" s="2" t="str">
        <f t="shared" si="6"/>
        <v>22.5</v>
      </c>
      <c r="AF20" s="2" t="str">
        <f t="shared" si="7"/>
        <v>23</v>
      </c>
      <c r="AG20" s="2" t="str">
        <f t="shared" si="8"/>
        <v>0.6237094224</v>
      </c>
      <c r="AH20" s="2" t="str">
        <f t="shared" si="9"/>
        <v>0.3762905776</v>
      </c>
      <c r="AI20" s="2" t="str">
        <f>VLOOKUP(AE20,B5:U51,(X20/25000),FALSE)</f>
        <v>1.6588</v>
      </c>
      <c r="AJ20" s="2" t="str">
        <f>VLOOKUP(AF20,B5:U51,(X20/25000),FALSE)</f>
        <v>1.6733</v>
      </c>
      <c r="AK20" s="2" t="str">
        <f>VLOOKUP(AE20,B5:U51,(Y20/25000),FALSE)</f>
        <v>1.8601</v>
      </c>
      <c r="AL20" s="2" t="str">
        <f>VLOOKUP(AF20,B5:U51,(Y20/25000),FALSE)</f>
        <v>1.8534</v>
      </c>
      <c r="AM20" s="2" t="str">
        <f t="shared" si="10"/>
        <v>1.664256213</v>
      </c>
      <c r="AN20" s="2" t="str">
        <f t="shared" si="11"/>
        <v>1.857578853</v>
      </c>
      <c r="AO20" s="2" t="str">
        <f t="shared" si="12"/>
        <v>1.753649571</v>
      </c>
    </row>
    <row r="21" ht="12.75" customHeight="1">
      <c r="B21" s="1">
        <v>10.0</v>
      </c>
      <c r="C21" s="1">
        <v>0.8246</v>
      </c>
      <c r="D21" s="1">
        <v>0.7053</v>
      </c>
      <c r="E21" s="1">
        <v>0.9121</v>
      </c>
      <c r="F21" s="1">
        <v>0.965</v>
      </c>
      <c r="G21" s="1">
        <v>1.0091</v>
      </c>
      <c r="H21" s="1">
        <v>1.0721</v>
      </c>
      <c r="I21" s="1">
        <v>1.15084</v>
      </c>
      <c r="J21" s="1">
        <v>1.19021</v>
      </c>
      <c r="K21" s="1">
        <v>1.22958</v>
      </c>
      <c r="L21" s="1">
        <v>1.31619</v>
      </c>
      <c r="M21" s="1">
        <v>1.4028</v>
      </c>
      <c r="N21" s="1">
        <v>1.3756375</v>
      </c>
      <c r="O21" s="1">
        <v>1.348475</v>
      </c>
      <c r="P21" s="1">
        <v>1.447954464</v>
      </c>
      <c r="Q21" s="1">
        <v>1.547433929</v>
      </c>
      <c r="R21" s="1">
        <v>1.646913393</v>
      </c>
      <c r="S21" s="1">
        <v>1.746392857</v>
      </c>
      <c r="T21" s="1">
        <v>1.898396429</v>
      </c>
      <c r="U21" s="1">
        <v>2.0504</v>
      </c>
    </row>
    <row r="22" ht="12.75" customHeight="1">
      <c r="B22" s="1">
        <v>10.5</v>
      </c>
      <c r="C22" s="1">
        <v>0.9361</v>
      </c>
      <c r="D22" s="1">
        <v>0.7825</v>
      </c>
      <c r="E22" s="1">
        <v>1.0082</v>
      </c>
      <c r="F22" s="1">
        <v>0.9791</v>
      </c>
      <c r="G22" s="1">
        <v>1.1622</v>
      </c>
      <c r="H22" s="1">
        <v>1.1302</v>
      </c>
      <c r="I22" s="1">
        <v>1.206086667</v>
      </c>
      <c r="J22" s="1">
        <v>1.24403</v>
      </c>
      <c r="K22" s="1">
        <v>1.281973333</v>
      </c>
      <c r="L22" s="1">
        <v>1.387386667</v>
      </c>
      <c r="M22" s="1">
        <v>1.4928</v>
      </c>
      <c r="N22" s="1">
        <v>1.443075</v>
      </c>
      <c r="O22" s="1">
        <v>1.39335</v>
      </c>
      <c r="P22" s="1">
        <v>1.499715179</v>
      </c>
      <c r="Q22" s="1">
        <v>1.606080357</v>
      </c>
      <c r="R22" s="1">
        <v>1.712445536</v>
      </c>
      <c r="S22" s="1">
        <v>1.818810714</v>
      </c>
      <c r="T22" s="1">
        <v>1.942083929</v>
      </c>
      <c r="U22" s="1">
        <v>2.065357143</v>
      </c>
    </row>
    <row r="23" ht="12.75" customHeight="1">
      <c r="B23" s="1">
        <v>11.0</v>
      </c>
      <c r="C23" s="1">
        <v>0.9344</v>
      </c>
      <c r="D23" s="1">
        <v>0.8406</v>
      </c>
      <c r="E23" s="1">
        <v>1.0145</v>
      </c>
      <c r="F23" s="1">
        <v>1.0646</v>
      </c>
      <c r="G23" s="1">
        <v>1.0951</v>
      </c>
      <c r="H23" s="1">
        <v>1.2489</v>
      </c>
      <c r="I23" s="1">
        <v>1.291633333</v>
      </c>
      <c r="J23" s="1">
        <v>1.313</v>
      </c>
      <c r="K23" s="1">
        <v>1.334366667</v>
      </c>
      <c r="L23" s="1">
        <v>1.446383333</v>
      </c>
      <c r="M23" s="1">
        <v>1.5584</v>
      </c>
      <c r="N23" s="1">
        <v>1.4983125</v>
      </c>
      <c r="O23" s="1">
        <v>1.438225</v>
      </c>
      <c r="P23" s="1">
        <v>1.551475893</v>
      </c>
      <c r="Q23" s="1">
        <v>1.664726786</v>
      </c>
      <c r="R23" s="1">
        <v>1.777977679</v>
      </c>
      <c r="S23" s="1">
        <v>1.891228571</v>
      </c>
      <c r="T23" s="1">
        <v>1.985771429</v>
      </c>
      <c r="U23" s="1">
        <v>2.080314286</v>
      </c>
    </row>
    <row r="24" ht="12.75" customHeight="1">
      <c r="B24" s="1">
        <v>11.5</v>
      </c>
      <c r="C24" s="1">
        <v>1.0012</v>
      </c>
      <c r="D24" s="1">
        <v>0.9077</v>
      </c>
      <c r="E24" s="1">
        <v>1.1024</v>
      </c>
      <c r="F24" s="1">
        <v>1.1597</v>
      </c>
      <c r="G24" s="1">
        <v>1.1642</v>
      </c>
      <c r="H24" s="1">
        <v>1.3658</v>
      </c>
      <c r="I24" s="1">
        <v>1.37628</v>
      </c>
      <c r="J24" s="1">
        <v>1.38152</v>
      </c>
      <c r="K24" s="1">
        <v>1.38676</v>
      </c>
      <c r="L24" s="1">
        <v>1.51213</v>
      </c>
      <c r="M24" s="1">
        <v>1.6375</v>
      </c>
      <c r="N24" s="1">
        <v>1.5603</v>
      </c>
      <c r="O24" s="1">
        <v>1.4831</v>
      </c>
      <c r="P24" s="1">
        <v>1.603236607</v>
      </c>
      <c r="Q24" s="1">
        <v>1.723373214</v>
      </c>
      <c r="R24" s="1">
        <v>1.843509821</v>
      </c>
      <c r="S24" s="1">
        <v>1.963646429</v>
      </c>
      <c r="T24" s="1">
        <v>2.029458929</v>
      </c>
      <c r="U24" s="1">
        <v>2.095271429</v>
      </c>
    </row>
    <row r="25" ht="12.75" customHeight="1">
      <c r="B25" s="1">
        <v>12.0</v>
      </c>
      <c r="C25" s="1">
        <v>1.0766</v>
      </c>
      <c r="D25" s="1">
        <v>0.9887</v>
      </c>
      <c r="E25" s="1">
        <v>1.206</v>
      </c>
      <c r="F25" s="1">
        <v>1.2509</v>
      </c>
      <c r="G25" s="1">
        <v>1.2775</v>
      </c>
      <c r="H25" s="1">
        <v>1.4556</v>
      </c>
      <c r="I25" s="1">
        <v>1.447376667</v>
      </c>
      <c r="J25" s="1">
        <v>1.443265</v>
      </c>
      <c r="K25" s="1">
        <v>1.439153333</v>
      </c>
      <c r="L25" s="1">
        <v>1.46135875</v>
      </c>
      <c r="M25" s="1">
        <v>1.483564167</v>
      </c>
      <c r="N25" s="1">
        <v>1.505769583</v>
      </c>
      <c r="O25" s="1">
        <v>1.527975</v>
      </c>
      <c r="P25" s="1">
        <v>1.654997321</v>
      </c>
      <c r="Q25" s="1">
        <v>1.782019643</v>
      </c>
      <c r="R25" s="1">
        <v>1.909041964</v>
      </c>
      <c r="S25" s="1">
        <v>2.036064286</v>
      </c>
      <c r="T25" s="1">
        <v>2.073146429</v>
      </c>
      <c r="U25" s="1">
        <v>2.110228571</v>
      </c>
    </row>
    <row r="26" ht="12.75" customHeight="1">
      <c r="B26" s="1">
        <v>12.5</v>
      </c>
      <c r="C26" s="1">
        <v>1.116266667</v>
      </c>
      <c r="D26" s="1">
        <v>1.0221</v>
      </c>
      <c r="E26" s="1">
        <v>1.1909</v>
      </c>
      <c r="F26" s="1">
        <v>1.2162</v>
      </c>
      <c r="G26" s="1">
        <v>1.3805</v>
      </c>
      <c r="H26" s="1">
        <v>1.3835</v>
      </c>
      <c r="I26" s="1">
        <v>1.437523333</v>
      </c>
      <c r="J26" s="1">
        <v>1.464535</v>
      </c>
      <c r="K26" s="1">
        <v>1.491546667</v>
      </c>
      <c r="L26" s="1">
        <v>1.5118725</v>
      </c>
      <c r="M26" s="1">
        <v>1.532198333</v>
      </c>
      <c r="N26" s="1">
        <v>1.552524167</v>
      </c>
      <c r="O26" s="1">
        <v>1.57285</v>
      </c>
      <c r="P26" s="1">
        <v>1.706758036</v>
      </c>
      <c r="Q26" s="1">
        <v>1.840666071</v>
      </c>
      <c r="R26" s="1">
        <v>1.974574107</v>
      </c>
      <c r="S26" s="1">
        <v>2.108482143</v>
      </c>
      <c r="T26" s="1">
        <v>2.116833929</v>
      </c>
      <c r="U26" s="1">
        <v>2.125185714</v>
      </c>
    </row>
    <row r="27" ht="12.75" customHeight="1">
      <c r="B27" s="1">
        <v>13.0</v>
      </c>
      <c r="C27" s="1">
        <v>1.155933333</v>
      </c>
      <c r="D27" s="1">
        <v>1.0592</v>
      </c>
      <c r="E27" s="1">
        <v>1.2498</v>
      </c>
      <c r="F27" s="1">
        <v>1.2771</v>
      </c>
      <c r="G27" s="1">
        <v>1.3054</v>
      </c>
      <c r="H27" s="1">
        <v>1.465</v>
      </c>
      <c r="I27" s="1">
        <v>1.50447</v>
      </c>
      <c r="J27" s="1">
        <v>1.524205</v>
      </c>
      <c r="K27" s="1">
        <v>1.54394</v>
      </c>
      <c r="L27" s="1">
        <v>1.56238625</v>
      </c>
      <c r="M27" s="1">
        <v>1.5808325</v>
      </c>
      <c r="N27" s="1">
        <v>1.59927875</v>
      </c>
      <c r="O27" s="1">
        <v>1.617725</v>
      </c>
      <c r="P27" s="1">
        <v>1.75851875</v>
      </c>
      <c r="Q27" s="1">
        <v>1.8993125</v>
      </c>
      <c r="R27" s="1">
        <v>2.04010625</v>
      </c>
      <c r="S27" s="1">
        <v>2.1809</v>
      </c>
      <c r="T27" s="1">
        <v>2.160521429</v>
      </c>
      <c r="U27" s="1">
        <v>2.140142857</v>
      </c>
    </row>
    <row r="28" ht="12.75" customHeight="1">
      <c r="B28" s="1">
        <v>13.5</v>
      </c>
      <c r="C28" s="1">
        <v>1.1956</v>
      </c>
      <c r="D28" s="1">
        <v>1.1188</v>
      </c>
      <c r="E28" s="1">
        <v>1.3168</v>
      </c>
      <c r="F28" s="1">
        <v>1.3484</v>
      </c>
      <c r="G28" s="1">
        <v>1.3689</v>
      </c>
      <c r="H28" s="1">
        <v>1.5483</v>
      </c>
      <c r="I28" s="1">
        <v>1.572316667</v>
      </c>
      <c r="J28" s="1">
        <v>1.584325</v>
      </c>
      <c r="K28" s="1">
        <v>1.596333333</v>
      </c>
      <c r="L28" s="1">
        <v>1.6129</v>
      </c>
      <c r="M28" s="1">
        <v>1.629466667</v>
      </c>
      <c r="N28" s="1">
        <v>1.646033333</v>
      </c>
      <c r="O28" s="1">
        <v>1.6626</v>
      </c>
      <c r="P28" s="1">
        <v>1.79080625</v>
      </c>
      <c r="Q28" s="1">
        <v>1.9190125</v>
      </c>
      <c r="R28" s="1">
        <v>2.04721875</v>
      </c>
      <c r="S28" s="1">
        <v>2.175425</v>
      </c>
      <c r="T28" s="1">
        <v>2.1652625</v>
      </c>
      <c r="U28" s="1">
        <v>2.1551</v>
      </c>
    </row>
    <row r="29" ht="12.75" customHeight="1">
      <c r="B29" s="1">
        <v>14.0</v>
      </c>
      <c r="C29" s="1">
        <v>1.235266667</v>
      </c>
      <c r="D29" s="1">
        <v>1.1944</v>
      </c>
      <c r="E29" s="1">
        <v>1.398</v>
      </c>
      <c r="F29" s="1">
        <v>1.4321</v>
      </c>
      <c r="G29" s="1">
        <v>1.4796</v>
      </c>
      <c r="H29" s="1">
        <v>1.550745455</v>
      </c>
      <c r="I29" s="1">
        <v>1.599736061</v>
      </c>
      <c r="J29" s="1">
        <v>1.624231364</v>
      </c>
      <c r="K29" s="1">
        <v>1.648726667</v>
      </c>
      <c r="L29" s="1">
        <v>1.66341375</v>
      </c>
      <c r="M29" s="1">
        <v>1.678100833</v>
      </c>
      <c r="N29" s="1">
        <v>1.692787917</v>
      </c>
      <c r="O29" s="1">
        <v>1.707475</v>
      </c>
      <c r="P29" s="1">
        <v>1.9157375</v>
      </c>
      <c r="Q29" s="1">
        <v>2.124</v>
      </c>
      <c r="R29" s="1">
        <v>2.146975</v>
      </c>
      <c r="S29" s="1">
        <v>2.16995</v>
      </c>
      <c r="T29" s="1">
        <v>2.192925</v>
      </c>
      <c r="U29" s="1">
        <v>2.2159</v>
      </c>
    </row>
    <row r="30" ht="12.75" customHeight="1">
      <c r="B30" s="1">
        <v>14.5</v>
      </c>
      <c r="C30" s="1">
        <v>1.274933333</v>
      </c>
      <c r="D30" s="1">
        <v>1.1682</v>
      </c>
      <c r="E30" s="1">
        <v>1.3545</v>
      </c>
      <c r="F30" s="1">
        <v>1.38</v>
      </c>
      <c r="G30" s="1">
        <v>1.416</v>
      </c>
      <c r="H30" s="1">
        <v>1.553190909</v>
      </c>
      <c r="I30" s="1">
        <v>1.627155455</v>
      </c>
      <c r="J30" s="1">
        <v>1.664137727</v>
      </c>
      <c r="K30" s="1">
        <v>1.70112</v>
      </c>
      <c r="L30" s="1">
        <v>1.7139275</v>
      </c>
      <c r="M30" s="1">
        <v>1.726735</v>
      </c>
      <c r="N30" s="1">
        <v>1.7395425</v>
      </c>
      <c r="O30" s="1">
        <v>1.75235</v>
      </c>
      <c r="P30" s="1">
        <v>1.924225</v>
      </c>
      <c r="Q30" s="1">
        <v>2.0961</v>
      </c>
      <c r="R30" s="1">
        <v>2.1312</v>
      </c>
      <c r="S30" s="1">
        <v>2.1663</v>
      </c>
      <c r="T30" s="1">
        <v>2.17975</v>
      </c>
      <c r="U30" s="1">
        <v>2.1932</v>
      </c>
    </row>
    <row r="31" ht="12.75" customHeight="1">
      <c r="B31" s="1">
        <v>15.0</v>
      </c>
      <c r="C31" s="1">
        <v>1.3146</v>
      </c>
      <c r="D31" s="1">
        <v>1.3567</v>
      </c>
      <c r="E31" s="1">
        <v>1.3988</v>
      </c>
      <c r="F31" s="1">
        <v>1.4305</v>
      </c>
      <c r="G31" s="1">
        <v>1.4602</v>
      </c>
      <c r="H31" s="1">
        <v>1.555636364</v>
      </c>
      <c r="I31" s="1">
        <v>1.654574848</v>
      </c>
      <c r="J31" s="1">
        <v>1.704044091</v>
      </c>
      <c r="K31" s="1">
        <v>1.753513333</v>
      </c>
      <c r="L31" s="1">
        <v>1.76444125</v>
      </c>
      <c r="M31" s="1">
        <v>1.775369167</v>
      </c>
      <c r="N31" s="1">
        <v>1.786297083</v>
      </c>
      <c r="O31" s="1">
        <v>1.797225</v>
      </c>
      <c r="P31" s="1">
        <v>1.9803125</v>
      </c>
      <c r="Q31" s="1">
        <v>2.1634</v>
      </c>
      <c r="R31" s="1">
        <v>2.1825</v>
      </c>
      <c r="S31" s="1">
        <v>2.2016</v>
      </c>
      <c r="T31" s="1">
        <v>2.20105</v>
      </c>
      <c r="U31" s="1">
        <v>2.2005</v>
      </c>
    </row>
    <row r="32" ht="12.75" customHeight="1">
      <c r="B32" s="1">
        <v>15.5</v>
      </c>
      <c r="C32" s="1">
        <v>1.3546</v>
      </c>
      <c r="D32" s="1">
        <v>1.4048</v>
      </c>
      <c r="E32" s="1">
        <v>1.455</v>
      </c>
      <c r="F32" s="1">
        <v>1.4919</v>
      </c>
      <c r="G32" s="1">
        <v>1.5448</v>
      </c>
      <c r="H32" s="1">
        <v>1.558081818</v>
      </c>
      <c r="I32" s="1">
        <v>1.681994242</v>
      </c>
      <c r="J32" s="1">
        <v>1.743950455</v>
      </c>
      <c r="K32" s="1">
        <v>1.805906667</v>
      </c>
      <c r="L32" s="1">
        <v>1.814955</v>
      </c>
      <c r="M32" s="1">
        <v>1.824003333</v>
      </c>
      <c r="N32" s="1">
        <v>1.833051667</v>
      </c>
      <c r="O32" s="1">
        <v>1.8421</v>
      </c>
      <c r="P32" s="1">
        <v>2.0011</v>
      </c>
      <c r="Q32" s="1">
        <v>2.1601</v>
      </c>
      <c r="R32" s="1">
        <v>2.1793</v>
      </c>
      <c r="S32" s="1">
        <v>2.1985</v>
      </c>
      <c r="T32" s="1">
        <v>2.19825</v>
      </c>
      <c r="U32" s="1">
        <v>2.198</v>
      </c>
    </row>
    <row r="33" ht="12.75" customHeight="1">
      <c r="B33" s="1">
        <v>16.0</v>
      </c>
      <c r="C33" s="1">
        <v>1.4036</v>
      </c>
      <c r="D33" s="1">
        <v>1.4592</v>
      </c>
      <c r="E33" s="1">
        <v>1.5148</v>
      </c>
      <c r="F33" s="1">
        <v>1.4689</v>
      </c>
      <c r="G33" s="1">
        <v>1.5528</v>
      </c>
      <c r="H33" s="1">
        <v>1.560527273</v>
      </c>
      <c r="I33" s="1">
        <v>1.709413636</v>
      </c>
      <c r="J33" s="1">
        <v>1.783856818</v>
      </c>
      <c r="K33" s="1">
        <v>1.8583</v>
      </c>
      <c r="L33" s="1">
        <v>1.849125</v>
      </c>
      <c r="M33" s="1">
        <v>1.83995</v>
      </c>
      <c r="N33" s="1">
        <v>1.830775</v>
      </c>
      <c r="O33" s="1">
        <v>1.8216</v>
      </c>
      <c r="P33" s="1">
        <v>1.99395</v>
      </c>
      <c r="Q33" s="1">
        <v>2.1663</v>
      </c>
      <c r="R33" s="1">
        <v>2.17395</v>
      </c>
      <c r="S33" s="1">
        <v>2.1816</v>
      </c>
      <c r="T33" s="1">
        <v>2.179</v>
      </c>
      <c r="U33" s="1">
        <v>2.1764</v>
      </c>
    </row>
    <row r="34" ht="12.75" customHeight="1">
      <c r="B34" s="1">
        <v>16.5</v>
      </c>
      <c r="C34" s="1">
        <v>1.4042</v>
      </c>
      <c r="D34" s="1">
        <v>1.476366667</v>
      </c>
      <c r="E34" s="1">
        <v>1.488483333</v>
      </c>
      <c r="F34" s="1">
        <v>1.5006</v>
      </c>
      <c r="G34" s="1">
        <v>1.5676</v>
      </c>
      <c r="H34" s="1">
        <v>1.562972727</v>
      </c>
      <c r="I34" s="1">
        <v>1.738786364</v>
      </c>
      <c r="J34" s="1">
        <v>1.826693182</v>
      </c>
      <c r="K34" s="1">
        <v>1.9146</v>
      </c>
      <c r="L34" s="1">
        <v>1.8718</v>
      </c>
      <c r="M34" s="1">
        <v>1.829</v>
      </c>
      <c r="N34" s="1">
        <v>1.7862</v>
      </c>
      <c r="O34" s="1">
        <v>1.7434</v>
      </c>
      <c r="P34" s="1">
        <v>1.9526</v>
      </c>
      <c r="Q34" s="1">
        <v>2.1618</v>
      </c>
      <c r="R34" s="1">
        <v>2.15545</v>
      </c>
      <c r="S34" s="1">
        <v>2.1491</v>
      </c>
      <c r="T34" s="1">
        <v>2.13875</v>
      </c>
      <c r="U34" s="1">
        <v>2.1284</v>
      </c>
    </row>
    <row r="35" ht="12.75" customHeight="1">
      <c r="B35" s="1">
        <v>17.0</v>
      </c>
      <c r="C35" s="1">
        <v>1.4482</v>
      </c>
      <c r="D35" s="1">
        <v>1.493533333</v>
      </c>
      <c r="E35" s="1">
        <v>1.418266667</v>
      </c>
      <c r="F35" s="1">
        <v>1.343</v>
      </c>
      <c r="G35" s="1">
        <v>1.6145</v>
      </c>
      <c r="H35" s="1">
        <v>1.565418182</v>
      </c>
      <c r="I35" s="1">
        <v>1.783509091</v>
      </c>
      <c r="J35" s="1">
        <v>1.892554545</v>
      </c>
      <c r="K35" s="1">
        <v>2.0016</v>
      </c>
      <c r="L35" s="1">
        <v>2.04515</v>
      </c>
      <c r="M35" s="1">
        <v>2.0887</v>
      </c>
      <c r="N35" s="1">
        <v>1.87645</v>
      </c>
      <c r="O35" s="1">
        <v>1.6642</v>
      </c>
      <c r="P35" s="1">
        <v>1.88955</v>
      </c>
      <c r="Q35" s="1">
        <v>2.1149</v>
      </c>
      <c r="R35" s="1">
        <v>2.10225</v>
      </c>
      <c r="S35" s="1">
        <v>2.0896</v>
      </c>
      <c r="T35" s="1">
        <v>2.0782</v>
      </c>
      <c r="U35" s="1">
        <v>2.0668</v>
      </c>
    </row>
    <row r="36" ht="12.75" customHeight="1">
      <c r="B36" s="1">
        <v>17.5</v>
      </c>
      <c r="C36" s="1">
        <v>1.4704</v>
      </c>
      <c r="D36" s="1">
        <v>1.5107</v>
      </c>
      <c r="E36" s="1">
        <v>1.44385</v>
      </c>
      <c r="F36" s="1">
        <v>1.377</v>
      </c>
      <c r="G36" s="1">
        <v>1.658333333</v>
      </c>
      <c r="H36" s="1">
        <v>1.567863636</v>
      </c>
      <c r="I36" s="1">
        <v>1.772181818</v>
      </c>
      <c r="J36" s="1">
        <v>1.874340909</v>
      </c>
      <c r="K36" s="1">
        <v>1.9765</v>
      </c>
      <c r="L36" s="1">
        <v>2.04275</v>
      </c>
      <c r="M36" s="1">
        <v>2.109</v>
      </c>
      <c r="N36" s="1">
        <v>1.87005</v>
      </c>
      <c r="O36" s="1">
        <v>1.6311</v>
      </c>
      <c r="P36" s="1">
        <v>1.84255</v>
      </c>
      <c r="Q36" s="1">
        <v>2.054</v>
      </c>
      <c r="R36" s="1">
        <v>2.03965</v>
      </c>
      <c r="S36" s="1">
        <v>2.0253</v>
      </c>
      <c r="T36" s="1">
        <v>2.01365</v>
      </c>
      <c r="U36" s="1">
        <v>2.002</v>
      </c>
    </row>
    <row r="37" ht="12.75" customHeight="1">
      <c r="B37" s="1">
        <v>18.0</v>
      </c>
      <c r="C37" s="1">
        <v>1.4921</v>
      </c>
      <c r="D37" s="1">
        <v>1.527866667</v>
      </c>
      <c r="E37" s="1">
        <v>1.473783333</v>
      </c>
      <c r="F37" s="1">
        <v>1.4197</v>
      </c>
      <c r="G37" s="1">
        <v>1.7083</v>
      </c>
      <c r="H37" s="1">
        <v>1.570309091</v>
      </c>
      <c r="I37" s="1">
        <v>1.792654545</v>
      </c>
      <c r="J37" s="1">
        <v>1.903827273</v>
      </c>
      <c r="K37" s="1">
        <v>2.015</v>
      </c>
      <c r="L37" s="1">
        <v>2.03425</v>
      </c>
      <c r="M37" s="1">
        <v>2.0535</v>
      </c>
      <c r="N37" s="1">
        <v>1.9252</v>
      </c>
      <c r="O37" s="1">
        <v>1.7969</v>
      </c>
      <c r="P37" s="1">
        <v>1.89405</v>
      </c>
      <c r="Q37" s="1">
        <v>1.9912</v>
      </c>
      <c r="R37" s="1">
        <v>1.9779</v>
      </c>
      <c r="S37" s="1">
        <v>1.9646</v>
      </c>
      <c r="T37" s="1">
        <v>1.95385</v>
      </c>
      <c r="U37" s="1">
        <v>1.9431</v>
      </c>
    </row>
    <row r="38" ht="12.75" customHeight="1">
      <c r="B38" s="1">
        <v>18.5</v>
      </c>
      <c r="C38" s="1">
        <v>1.5317</v>
      </c>
      <c r="D38" s="1">
        <v>1.549711111</v>
      </c>
      <c r="E38" s="1">
        <v>1.497830556</v>
      </c>
      <c r="F38" s="1">
        <v>1.44595</v>
      </c>
      <c r="G38" s="1">
        <v>1.746</v>
      </c>
      <c r="H38" s="1">
        <v>1.572754545</v>
      </c>
      <c r="I38" s="1">
        <v>1.785052273</v>
      </c>
      <c r="J38" s="1">
        <v>1.891201136</v>
      </c>
      <c r="K38" s="1">
        <v>1.99735</v>
      </c>
      <c r="L38" s="1">
        <v>1.997675</v>
      </c>
      <c r="M38" s="1">
        <v>1.998</v>
      </c>
      <c r="N38" s="1">
        <v>1.98035</v>
      </c>
      <c r="O38" s="1">
        <v>1.9627</v>
      </c>
      <c r="P38" s="1">
        <v>1.94885</v>
      </c>
      <c r="Q38" s="1">
        <v>1.935</v>
      </c>
      <c r="R38" s="1">
        <v>1.9315</v>
      </c>
      <c r="S38" s="1">
        <v>1.928</v>
      </c>
      <c r="T38" s="1">
        <v>1.92845</v>
      </c>
      <c r="U38" s="1">
        <v>1.9289</v>
      </c>
    </row>
    <row r="39" ht="12.75" customHeight="1">
      <c r="B39" s="1">
        <v>19.0</v>
      </c>
      <c r="C39" s="1">
        <v>1.5393</v>
      </c>
      <c r="D39" s="1">
        <v>1.5622</v>
      </c>
      <c r="E39" s="1">
        <v>1.5172</v>
      </c>
      <c r="F39" s="1">
        <v>1.4722</v>
      </c>
      <c r="G39" s="1">
        <v>1.8377</v>
      </c>
      <c r="H39" s="1">
        <v>1.5752</v>
      </c>
      <c r="I39" s="1">
        <v>2.0285</v>
      </c>
      <c r="J39" s="1">
        <v>2.0041</v>
      </c>
      <c r="K39" s="1">
        <v>1.9797</v>
      </c>
      <c r="L39" s="1">
        <v>1.9602</v>
      </c>
      <c r="M39" s="1">
        <v>1.9407</v>
      </c>
      <c r="N39" s="1">
        <v>1.93205</v>
      </c>
      <c r="O39" s="1">
        <v>1.9234</v>
      </c>
      <c r="P39" s="1">
        <v>1.92365</v>
      </c>
      <c r="Q39" s="1">
        <v>1.9239</v>
      </c>
      <c r="R39" s="1">
        <v>1.92525</v>
      </c>
      <c r="S39" s="1">
        <v>1.9266</v>
      </c>
      <c r="T39" s="1">
        <v>1.929925</v>
      </c>
      <c r="U39" s="1">
        <v>1.93325</v>
      </c>
    </row>
    <row r="40" ht="12.75" customHeight="1">
      <c r="B40" s="1">
        <v>19.5</v>
      </c>
      <c r="C40" s="1">
        <v>1.5526</v>
      </c>
      <c r="D40" s="1">
        <v>1.5934</v>
      </c>
      <c r="E40" s="1">
        <v>1.545925</v>
      </c>
      <c r="F40" s="1">
        <v>1.49845</v>
      </c>
      <c r="G40" s="1">
        <v>1.9051</v>
      </c>
      <c r="H40" s="1">
        <v>1.5603</v>
      </c>
      <c r="I40" s="1">
        <v>1.9682</v>
      </c>
      <c r="J40" s="1">
        <v>1.94775</v>
      </c>
      <c r="K40" s="1">
        <v>1.9273</v>
      </c>
      <c r="L40" s="1">
        <v>1.92455</v>
      </c>
      <c r="M40" s="1">
        <v>1.9218</v>
      </c>
      <c r="N40" s="1">
        <v>1.92205</v>
      </c>
      <c r="O40" s="1">
        <v>1.9223</v>
      </c>
      <c r="P40" s="1">
        <v>1.92415</v>
      </c>
      <c r="Q40" s="1">
        <v>1.926</v>
      </c>
      <c r="R40" s="1">
        <v>1.9294</v>
      </c>
      <c r="S40" s="1">
        <v>1.9328</v>
      </c>
      <c r="T40" s="1">
        <v>1.9352</v>
      </c>
      <c r="U40" s="1">
        <v>1.9376</v>
      </c>
    </row>
    <row r="41" ht="12.75" customHeight="1">
      <c r="B41" s="1">
        <v>20.0</v>
      </c>
      <c r="C41" s="1">
        <v>1.582</v>
      </c>
      <c r="D41" s="1">
        <v>1.6112</v>
      </c>
      <c r="E41" s="1">
        <v>1.56795</v>
      </c>
      <c r="F41" s="1">
        <v>1.5247</v>
      </c>
      <c r="G41" s="1">
        <v>1.9725</v>
      </c>
      <c r="H41" s="1">
        <v>1.9402</v>
      </c>
      <c r="I41" s="1">
        <v>1.9236</v>
      </c>
      <c r="J41" s="1">
        <v>1.92135</v>
      </c>
      <c r="K41" s="1">
        <v>1.9191</v>
      </c>
      <c r="L41" s="1">
        <v>1.91875</v>
      </c>
      <c r="M41" s="1">
        <v>1.9184</v>
      </c>
      <c r="N41" s="1">
        <v>1.9198</v>
      </c>
      <c r="O41" s="1">
        <v>1.9212</v>
      </c>
      <c r="P41" s="1">
        <v>1.92545</v>
      </c>
      <c r="Q41" s="1">
        <v>1.9297</v>
      </c>
      <c r="R41" s="1">
        <v>1.93265</v>
      </c>
      <c r="S41" s="1">
        <v>1.9356</v>
      </c>
      <c r="T41" s="1">
        <v>1.93755</v>
      </c>
      <c r="U41" s="1">
        <v>1.9395</v>
      </c>
    </row>
    <row r="42" ht="12.75" customHeight="1">
      <c r="B42" s="1">
        <v>20.5</v>
      </c>
      <c r="C42" s="1">
        <v>1.6116</v>
      </c>
      <c r="D42" s="1">
        <v>1.6586</v>
      </c>
      <c r="E42" s="1">
        <v>1.5975</v>
      </c>
      <c r="F42" s="1">
        <v>1.5364</v>
      </c>
      <c r="G42" s="1">
        <v>1.9181</v>
      </c>
      <c r="H42" s="1">
        <v>1.9146</v>
      </c>
      <c r="I42" s="1">
        <v>1.9129</v>
      </c>
      <c r="J42" s="1">
        <v>1.91395</v>
      </c>
      <c r="K42" s="1">
        <v>1.915</v>
      </c>
      <c r="L42" s="1">
        <v>1.91495</v>
      </c>
      <c r="M42" s="1">
        <v>1.9149</v>
      </c>
      <c r="N42" s="1">
        <v>1.9195</v>
      </c>
      <c r="O42" s="1">
        <v>1.9241</v>
      </c>
      <c r="P42" s="1">
        <v>1.9271</v>
      </c>
      <c r="Q42" s="1">
        <v>1.9301</v>
      </c>
      <c r="R42" s="1">
        <v>1.9317</v>
      </c>
      <c r="S42" s="1">
        <v>1.9333</v>
      </c>
      <c r="T42" s="1">
        <v>1.9335</v>
      </c>
      <c r="U42" s="1">
        <v>1.9337</v>
      </c>
    </row>
    <row r="43" ht="12.75" customHeight="1">
      <c r="B43" s="1">
        <v>21.0</v>
      </c>
      <c r="C43" s="1">
        <v>1.5994</v>
      </c>
      <c r="D43" s="1">
        <v>1.636</v>
      </c>
      <c r="E43" s="1">
        <v>1.61485</v>
      </c>
      <c r="F43" s="1">
        <v>1.5937</v>
      </c>
      <c r="G43" s="1">
        <v>1.9042</v>
      </c>
      <c r="H43" s="1">
        <v>1.9063</v>
      </c>
      <c r="I43" s="1">
        <v>1.9105</v>
      </c>
      <c r="J43" s="1">
        <v>1.90815</v>
      </c>
      <c r="K43" s="1">
        <v>1.9058</v>
      </c>
      <c r="L43" s="1">
        <v>1.9114</v>
      </c>
      <c r="M43" s="1">
        <v>1.917</v>
      </c>
      <c r="N43" s="1">
        <v>1.9206</v>
      </c>
      <c r="O43" s="1">
        <v>1.9242</v>
      </c>
      <c r="P43" s="1">
        <v>1.92525</v>
      </c>
      <c r="Q43" s="1">
        <v>1.9263</v>
      </c>
      <c r="R43" s="1">
        <v>1.928</v>
      </c>
      <c r="S43" s="1">
        <v>1.9297</v>
      </c>
      <c r="T43" s="1">
        <v>1.9349</v>
      </c>
      <c r="U43" s="1">
        <v>1.9401</v>
      </c>
    </row>
    <row r="44" ht="12.75" customHeight="1">
      <c r="B44" s="1">
        <v>21.5</v>
      </c>
      <c r="C44" s="1">
        <v>1.6305</v>
      </c>
      <c r="D44" s="1">
        <v>1.6606</v>
      </c>
      <c r="E44" s="1">
        <v>1.8898</v>
      </c>
      <c r="F44" s="1">
        <v>1.6212</v>
      </c>
      <c r="G44" s="1">
        <v>1.894</v>
      </c>
      <c r="H44" s="1">
        <v>1.9022</v>
      </c>
      <c r="I44" s="1">
        <v>1.9012</v>
      </c>
      <c r="J44" s="1">
        <v>1.904</v>
      </c>
      <c r="K44" s="1">
        <v>1.9068</v>
      </c>
      <c r="L44" s="1">
        <v>1.91085</v>
      </c>
      <c r="M44" s="1">
        <v>1.9149</v>
      </c>
      <c r="N44" s="1">
        <v>1.91525</v>
      </c>
      <c r="O44" s="1">
        <v>1.9156</v>
      </c>
      <c r="P44" s="1">
        <v>1.91935</v>
      </c>
      <c r="Q44" s="1">
        <v>1.9231</v>
      </c>
      <c r="R44" s="1">
        <v>1.9285</v>
      </c>
      <c r="S44" s="1">
        <v>1.9339</v>
      </c>
      <c r="T44" s="1">
        <v>1.93855</v>
      </c>
      <c r="U44" s="1">
        <v>1.9432</v>
      </c>
    </row>
    <row r="45" ht="12.75" customHeight="1">
      <c r="B45" s="1">
        <v>22.0</v>
      </c>
      <c r="C45" s="1">
        <v>1.6363</v>
      </c>
      <c r="D45" s="1">
        <v>1.76035</v>
      </c>
      <c r="E45" s="1">
        <v>1.8687</v>
      </c>
      <c r="F45" s="1">
        <v>1.6735</v>
      </c>
      <c r="G45" s="1">
        <v>1.8944</v>
      </c>
      <c r="H45" s="1">
        <v>1.8957</v>
      </c>
      <c r="I45" s="1">
        <v>1.8987</v>
      </c>
      <c r="J45" s="1">
        <v>1.90315</v>
      </c>
      <c r="K45" s="1">
        <v>1.9076</v>
      </c>
      <c r="L45" s="1">
        <v>1.9074</v>
      </c>
      <c r="M45" s="1">
        <v>1.9072</v>
      </c>
      <c r="N45" s="1">
        <v>1.9128</v>
      </c>
      <c r="O45" s="1">
        <v>1.9184</v>
      </c>
      <c r="P45" s="1">
        <v>1.9236</v>
      </c>
      <c r="Q45" s="1">
        <v>1.9288</v>
      </c>
      <c r="R45" s="1">
        <v>1.9333</v>
      </c>
      <c r="S45" s="1">
        <v>1.9378</v>
      </c>
      <c r="T45" s="1">
        <v>1.94055</v>
      </c>
      <c r="U45" s="1">
        <v>1.9433</v>
      </c>
    </row>
    <row r="46" ht="12.75" customHeight="1">
      <c r="B46" s="1">
        <v>22.5</v>
      </c>
      <c r="C46" s="1">
        <v>1.6588</v>
      </c>
      <c r="D46" s="1">
        <v>1.8601</v>
      </c>
      <c r="E46" s="1">
        <v>1.8639</v>
      </c>
      <c r="F46" s="1">
        <v>1.6637</v>
      </c>
      <c r="G46" s="1">
        <v>1.8968</v>
      </c>
      <c r="H46" s="1">
        <v>1.9017</v>
      </c>
      <c r="I46" s="1">
        <v>1.9037</v>
      </c>
      <c r="J46" s="1">
        <v>1.90555</v>
      </c>
      <c r="K46" s="1">
        <v>1.9074</v>
      </c>
      <c r="L46" s="1">
        <v>1.9107</v>
      </c>
      <c r="M46" s="1">
        <v>1.914</v>
      </c>
      <c r="N46" s="1">
        <v>1.9182</v>
      </c>
      <c r="O46" s="1">
        <v>1.9224</v>
      </c>
      <c r="P46" s="1">
        <v>1.92595</v>
      </c>
      <c r="Q46" s="1">
        <v>1.9295</v>
      </c>
      <c r="R46" s="1">
        <v>1.92965</v>
      </c>
      <c r="S46" s="1">
        <v>1.9298</v>
      </c>
      <c r="T46" s="1">
        <v>1.93605</v>
      </c>
      <c r="U46" s="1">
        <v>1.9423</v>
      </c>
    </row>
    <row r="47" ht="12.75" customHeight="1">
      <c r="B47" s="1">
        <v>23.0</v>
      </c>
      <c r="C47" s="1">
        <v>1.6733</v>
      </c>
      <c r="D47" s="1">
        <v>1.8534</v>
      </c>
      <c r="E47" s="1">
        <v>1.8957</v>
      </c>
      <c r="F47" s="1">
        <v>1.6425</v>
      </c>
      <c r="G47" s="1">
        <v>1.915</v>
      </c>
      <c r="H47" s="1">
        <v>1.9123</v>
      </c>
      <c r="I47" s="1">
        <v>1.9212</v>
      </c>
      <c r="J47" s="1">
        <v>1.91835</v>
      </c>
      <c r="K47" s="1">
        <v>1.9155</v>
      </c>
      <c r="L47" s="1">
        <v>1.91645</v>
      </c>
      <c r="M47" s="1">
        <v>1.9174</v>
      </c>
      <c r="N47" s="1">
        <v>1.9185</v>
      </c>
      <c r="O47" s="1">
        <v>1.9196</v>
      </c>
      <c r="P47" s="1">
        <v>1.92375</v>
      </c>
      <c r="Q47" s="1">
        <v>1.9279</v>
      </c>
      <c r="R47" s="1">
        <v>1.93305</v>
      </c>
      <c r="S47" s="1">
        <v>1.9382</v>
      </c>
      <c r="T47" s="1">
        <v>1.9436</v>
      </c>
      <c r="U47" s="1">
        <v>1.949</v>
      </c>
    </row>
    <row r="48" ht="12.75" customHeight="1">
      <c r="B48" s="4">
        <v>23.5</v>
      </c>
      <c r="C48" s="4">
        <v>1.8612</v>
      </c>
      <c r="D48" s="1">
        <v>1.8777</v>
      </c>
      <c r="E48" s="4">
        <v>1.9927</v>
      </c>
      <c r="F48" s="4">
        <v>1.6109</v>
      </c>
      <c r="G48" s="4">
        <v>1.9632</v>
      </c>
      <c r="H48" s="4">
        <v>1.9425</v>
      </c>
      <c r="I48" s="4">
        <v>1.931</v>
      </c>
      <c r="J48" s="4">
        <v>1.9266</v>
      </c>
      <c r="K48" s="1">
        <v>1.9222</v>
      </c>
      <c r="L48" s="4">
        <v>1.92325</v>
      </c>
      <c r="M48" s="4">
        <v>1.9243</v>
      </c>
      <c r="N48" s="4">
        <v>1.92585</v>
      </c>
      <c r="O48" s="4">
        <v>1.9274</v>
      </c>
      <c r="P48" s="4">
        <v>1.93125</v>
      </c>
      <c r="Q48" s="4">
        <v>1.9351</v>
      </c>
      <c r="R48" s="4">
        <v>1.93965</v>
      </c>
      <c r="S48" s="4">
        <v>1.9442</v>
      </c>
      <c r="T48" s="4">
        <v>1.9463</v>
      </c>
      <c r="U48" s="4">
        <v>1.9484</v>
      </c>
    </row>
    <row r="49" ht="12.75" customHeight="1">
      <c r="B49" s="4">
        <v>24.0</v>
      </c>
      <c r="C49" s="4">
        <v>1.8931</v>
      </c>
      <c r="D49" s="1">
        <v>2.1089</v>
      </c>
      <c r="E49" s="4">
        <v>2.0356</v>
      </c>
      <c r="F49" s="4">
        <v>1.5616</v>
      </c>
      <c r="G49" s="4">
        <v>1.9924</v>
      </c>
      <c r="H49" s="4">
        <v>1.9647</v>
      </c>
      <c r="I49" s="1">
        <v>1.9716</v>
      </c>
      <c r="J49" s="4">
        <v>1.9569</v>
      </c>
      <c r="K49" s="1">
        <v>1.9422</v>
      </c>
      <c r="L49" s="4">
        <v>1.93705</v>
      </c>
      <c r="M49" s="1">
        <v>1.9319</v>
      </c>
      <c r="N49" s="4">
        <v>1.93235</v>
      </c>
      <c r="O49" s="4">
        <v>1.9328</v>
      </c>
      <c r="P49" s="4">
        <v>1.93465</v>
      </c>
      <c r="Q49" s="4">
        <v>1.9365</v>
      </c>
      <c r="R49" s="4">
        <v>1.9417</v>
      </c>
      <c r="S49" s="4">
        <v>1.9469</v>
      </c>
      <c r="T49" s="4">
        <v>1.95255</v>
      </c>
      <c r="U49" s="4">
        <v>1.9582</v>
      </c>
    </row>
    <row r="50" ht="12.75" customHeight="1">
      <c r="B50" s="4">
        <v>24.5</v>
      </c>
      <c r="C50" s="4">
        <v>2.1738</v>
      </c>
      <c r="D50" s="1">
        <v>2.1363</v>
      </c>
      <c r="E50" s="4">
        <v>2.1197</v>
      </c>
      <c r="F50" s="4">
        <v>1.5047</v>
      </c>
      <c r="G50" s="4">
        <v>2.0467</v>
      </c>
      <c r="H50" s="4">
        <v>2.0093</v>
      </c>
      <c r="I50" s="1">
        <v>1.9831</v>
      </c>
      <c r="J50" s="4">
        <v>1.9661</v>
      </c>
      <c r="K50" s="1">
        <v>1.9491</v>
      </c>
      <c r="L50" s="4">
        <v>1.9451</v>
      </c>
      <c r="M50" s="1">
        <v>1.9411</v>
      </c>
      <c r="N50" s="4">
        <v>1.93965</v>
      </c>
      <c r="O50" s="4">
        <v>1.9382</v>
      </c>
      <c r="P50" s="4">
        <v>1.94025</v>
      </c>
      <c r="Q50" s="4">
        <v>1.9423</v>
      </c>
      <c r="R50" s="4">
        <v>1.94655</v>
      </c>
      <c r="S50" s="4">
        <v>1.9508</v>
      </c>
      <c r="T50" s="4">
        <v>1.9521</v>
      </c>
      <c r="U50" s="4">
        <v>1.9534</v>
      </c>
    </row>
    <row r="51" ht="12.75" customHeight="1">
      <c r="B51" s="4">
        <v>25.0</v>
      </c>
      <c r="C51" s="4">
        <v>2.1744</v>
      </c>
      <c r="D51" s="4">
        <v>2.1318</v>
      </c>
      <c r="E51" s="4">
        <v>2.101</v>
      </c>
      <c r="F51" s="4">
        <v>1.4459</v>
      </c>
      <c r="G51" s="4">
        <v>2.0563</v>
      </c>
      <c r="H51" s="4">
        <v>2.0192</v>
      </c>
      <c r="I51" s="4">
        <v>1.9899</v>
      </c>
      <c r="J51" s="4">
        <v>1.9779</v>
      </c>
      <c r="K51" s="4">
        <v>1.9659</v>
      </c>
      <c r="L51" s="4">
        <v>1.9568</v>
      </c>
      <c r="M51" s="4">
        <v>1.9477</v>
      </c>
      <c r="N51" s="4">
        <v>1.9449</v>
      </c>
      <c r="O51" s="4">
        <v>1.9421</v>
      </c>
      <c r="P51" s="4">
        <v>1.94335</v>
      </c>
      <c r="Q51" s="4">
        <v>1.9446</v>
      </c>
      <c r="R51" s="4">
        <v>1.9473</v>
      </c>
      <c r="S51" s="4">
        <v>1.95</v>
      </c>
      <c r="T51" s="4">
        <v>1.95395</v>
      </c>
      <c r="U51" s="4">
        <v>1.9579</v>
      </c>
    </row>
    <row r="52" ht="12.75" customHeight="1"/>
    <row r="53" ht="12.75" customHeight="1"/>
    <row r="54" ht="12.75" customHeight="1">
      <c r="C54" s="4" t="s">
        <v>8</v>
      </c>
      <c r="D54" s="4" t="s">
        <v>8</v>
      </c>
      <c r="E54" s="4" t="s">
        <v>8</v>
      </c>
      <c r="F54" s="4" t="s">
        <v>8</v>
      </c>
      <c r="G54" s="4" t="s">
        <v>8</v>
      </c>
      <c r="H54" s="4" t="s">
        <v>8</v>
      </c>
      <c r="I54" s="4" t="s">
        <v>8</v>
      </c>
      <c r="J54" s="4" t="s">
        <v>8</v>
      </c>
      <c r="K54" s="4" t="s">
        <v>8</v>
      </c>
      <c r="L54" s="4" t="s">
        <v>8</v>
      </c>
      <c r="M54" s="4" t="s">
        <v>8</v>
      </c>
      <c r="N54" s="4" t="s">
        <v>8</v>
      </c>
      <c r="O54" s="4" t="s">
        <v>8</v>
      </c>
      <c r="P54" s="4" t="s">
        <v>8</v>
      </c>
      <c r="Q54" s="4" t="s">
        <v>8</v>
      </c>
      <c r="R54" s="4" t="s">
        <v>8</v>
      </c>
      <c r="S54" s="4" t="s">
        <v>8</v>
      </c>
      <c r="T54" s="4" t="s">
        <v>8</v>
      </c>
      <c r="U54" s="4" t="s">
        <v>8</v>
      </c>
      <c r="W54" s="1" t="s">
        <v>1</v>
      </c>
      <c r="X54" s="1"/>
      <c r="Y54" s="1"/>
      <c r="Z54" s="1"/>
      <c r="AA54" s="1"/>
      <c r="AB54" s="1" t="s">
        <v>2</v>
      </c>
      <c r="AC54" s="1" t="s">
        <v>3</v>
      </c>
      <c r="AE54" s="1"/>
      <c r="AF54" s="1"/>
      <c r="AG54" s="1"/>
      <c r="AH54" s="1"/>
      <c r="AI54" s="1" t="s">
        <v>4</v>
      </c>
      <c r="AK54" s="1" t="s">
        <v>5</v>
      </c>
      <c r="AM54" s="1" t="s">
        <v>6</v>
      </c>
      <c r="AN54" s="1" t="s">
        <v>7</v>
      </c>
      <c r="AO54" s="1" t="s">
        <v>8</v>
      </c>
    </row>
    <row r="55" ht="12.75" customHeight="1">
      <c r="C55" s="4">
        <v>50000.0</v>
      </c>
      <c r="D55" s="4">
        <v>75000.0</v>
      </c>
      <c r="E55" s="4">
        <v>100000.0</v>
      </c>
      <c r="F55" s="4">
        <v>125000.0</v>
      </c>
      <c r="G55" s="4">
        <v>150000.0</v>
      </c>
      <c r="H55" s="4">
        <v>175000.0</v>
      </c>
      <c r="I55" s="4">
        <v>200000.0</v>
      </c>
      <c r="J55" s="4">
        <v>225000.0</v>
      </c>
      <c r="K55" s="4">
        <v>250000.0</v>
      </c>
      <c r="L55" s="4">
        <v>275000.0</v>
      </c>
      <c r="M55" s="4">
        <v>300000.0</v>
      </c>
      <c r="N55" s="4">
        <v>325000.0</v>
      </c>
      <c r="O55" s="4">
        <v>350000.0</v>
      </c>
      <c r="P55" s="4">
        <v>375000.0</v>
      </c>
      <c r="Q55" s="4">
        <v>400000.0</v>
      </c>
      <c r="R55" s="4">
        <v>425000.0</v>
      </c>
      <c r="S55" s="4">
        <v>450000.0</v>
      </c>
      <c r="T55" s="4">
        <v>475000.0</v>
      </c>
      <c r="U55" s="4">
        <v>500000.0</v>
      </c>
      <c r="W55" s="2" t="str">
        <f>IF('расчет'!R22&lt;50000,50000,'расчет'!R22)</f>
        <v>163883.2139</v>
      </c>
      <c r="X55" s="2" t="str">
        <f t="shared" ref="X55:X71" si="28">IF((W55&gt;475000),475000,(ROUNDDOWN((W55/25000),0))*25000)</f>
        <v>150000</v>
      </c>
      <c r="Y55" s="2" t="str">
        <f t="shared" ref="Y55:Y71" si="29">X55+25000</f>
        <v>175000</v>
      </c>
      <c r="Z55" s="2" t="str">
        <f t="shared" ref="Z55:Z71" si="30">IF((W55&gt;500000),0,(Y55-W55)/25000)</f>
        <v>0.444671445</v>
      </c>
      <c r="AA55" s="2" t="str">
        <f t="shared" ref="AA55:AA71" si="31">1-Z55</f>
        <v>0.555328555</v>
      </c>
      <c r="AB55" s="2" t="str">
        <f>'расчет'!P22</f>
        <v>7.018095386</v>
      </c>
      <c r="AC55" s="1">
        <v>2.0</v>
      </c>
      <c r="AD55" s="1">
        <v>25.0</v>
      </c>
      <c r="AE55" s="2" t="str">
        <f t="shared" ref="AE55:AE71" si="33">IF(AB55&gt;0,ROUNDDOWN((AB55/0.5),0)*0.5,ROUNDUP((AB55/0.5),0)*0.5)</f>
        <v>7</v>
      </c>
      <c r="AF55" s="2" t="str">
        <f t="shared" ref="AF55:AF71" si="34">AE55+0.5</f>
        <v>7.5</v>
      </c>
      <c r="AG55" s="2" t="str">
        <f t="shared" ref="AG55:AG71" si="35">(AF55-AB55)/0.5</f>
        <v>0.9638092287</v>
      </c>
      <c r="AH55" s="2" t="str">
        <f t="shared" ref="AH55:AH71" si="36">1-AG55</f>
        <v>0.03619077129</v>
      </c>
      <c r="AI55" s="2" t="str">
        <f>VLOOKUP(AE55,B56:U102,(X55/25000),FALSE)</f>
        <v>3.253221176</v>
      </c>
      <c r="AJ55" s="2" t="str">
        <f>VLOOKUP(AF55,B56:U102,(X55/25000),FALSE)</f>
        <v>3.313397129</v>
      </c>
      <c r="AK55" s="2" t="str">
        <f>VLOOKUP(AE55,B56:U102,(Y55/25000),FALSE)</f>
        <v>3.705109093</v>
      </c>
      <c r="AL55" s="2" t="str">
        <f>VLOOKUP(AF55,B56:U102,(Y55/25000),FALSE)</f>
        <v>4.503903383</v>
      </c>
      <c r="AM55" s="2" t="str">
        <f t="shared" ref="AM55:AM71" si="37">AI55*AG55+AJ55*AH55</f>
        <v>3.25539899</v>
      </c>
      <c r="AN55" s="2" t="str">
        <f t="shared" ref="AN55:AN71" si="38">AK55*AG55+AL55*AH55</f>
        <v>3.734018074</v>
      </c>
      <c r="AO55" s="2" t="str">
        <f t="shared" ref="AO55:AO71" si="39">AM55*Z55+AN55*AA55</f>
        <v>3.521189835</v>
      </c>
    </row>
    <row r="56" ht="12.75" customHeight="1">
      <c r="B56" s="1">
        <v>2.0</v>
      </c>
      <c r="C56" s="1">
        <v>1.0</v>
      </c>
      <c r="D56" s="1">
        <v>1.0</v>
      </c>
      <c r="E56" s="1">
        <v>1.0</v>
      </c>
      <c r="F56" s="1">
        <v>1.0</v>
      </c>
      <c r="G56" s="1">
        <v>1.0</v>
      </c>
      <c r="H56" s="1">
        <v>1.0</v>
      </c>
      <c r="I56" s="1">
        <v>1.0</v>
      </c>
      <c r="J56" s="1">
        <v>1.0</v>
      </c>
      <c r="K56" s="1">
        <v>1.0</v>
      </c>
      <c r="L56" s="1">
        <v>1.255010763</v>
      </c>
      <c r="M56" s="1">
        <v>1.547803263</v>
      </c>
      <c r="N56" s="1">
        <v>1.854805541</v>
      </c>
      <c r="O56" s="1">
        <v>2.177077765</v>
      </c>
      <c r="P56" s="1">
        <v>2.338869582</v>
      </c>
      <c r="Q56" s="1">
        <v>2.513061188</v>
      </c>
      <c r="R56" s="1">
        <v>3.013022934</v>
      </c>
      <c r="S56" s="1">
        <v>3.555940189</v>
      </c>
      <c r="T56" s="1">
        <v>4.147597398</v>
      </c>
      <c r="U56" s="1">
        <v>4.7948664</v>
      </c>
      <c r="W56" s="2" t="str">
        <f>IF('расчет'!R23&lt;50000,50000,'расчет'!R23)</f>
        <v>161126.0378</v>
      </c>
      <c r="X56" s="2" t="str">
        <f t="shared" si="28"/>
        <v>150000</v>
      </c>
      <c r="Y56" s="2" t="str">
        <f t="shared" si="29"/>
        <v>175000</v>
      </c>
      <c r="Z56" s="2" t="str">
        <f t="shared" si="30"/>
        <v>0.5549584897</v>
      </c>
      <c r="AA56" s="2" t="str">
        <f t="shared" si="31"/>
        <v>0.4450415103</v>
      </c>
      <c r="AB56" s="2" t="str">
        <f>'расчет'!P23</f>
        <v>7.75866912</v>
      </c>
      <c r="AC56" s="2" t="str">
        <f t="shared" ref="AC56:AD56" si="32">AC55</f>
        <v>2</v>
      </c>
      <c r="AD56" s="2" t="str">
        <f t="shared" si="32"/>
        <v>25</v>
      </c>
      <c r="AE56" s="2" t="str">
        <f t="shared" si="33"/>
        <v>7.5</v>
      </c>
      <c r="AF56" s="2" t="str">
        <f t="shared" si="34"/>
        <v>8</v>
      </c>
      <c r="AG56" s="2" t="str">
        <f t="shared" si="35"/>
        <v>0.4826617596</v>
      </c>
      <c r="AH56" s="2" t="str">
        <f t="shared" si="36"/>
        <v>0.5173382404</v>
      </c>
      <c r="AI56" s="2" t="str">
        <f>VLOOKUP(AE56,B56:U102,(X56/25000),FALSE)</f>
        <v>3.313397129</v>
      </c>
      <c r="AJ56" s="2" t="str">
        <f>VLOOKUP(AF56,B56:U102,(X56/25000),FALSE)</f>
        <v>4.165164779</v>
      </c>
      <c r="AK56" s="2" t="str">
        <f>VLOOKUP(AE56,B56:U102,(Y56/25000),FALSE)</f>
        <v>4.503903383</v>
      </c>
      <c r="AL56" s="2" t="str">
        <f>VLOOKUP(AF56,B56:U102,(Y56/25000),FALSE)</f>
        <v>4.210700789</v>
      </c>
      <c r="AM56" s="2" t="str">
        <f t="shared" si="37"/>
        <v>3.754049106</v>
      </c>
      <c r="AN56" s="2" t="str">
        <f t="shared" si="38"/>
        <v>4.352218469</v>
      </c>
      <c r="AO56" s="2" t="str">
        <f t="shared" si="39"/>
        <v>4.020259303</v>
      </c>
    </row>
    <row r="57" ht="12.75" customHeight="1">
      <c r="B57" s="1">
        <v>2.5</v>
      </c>
      <c r="C57" s="1">
        <v>1.0</v>
      </c>
      <c r="D57" s="1">
        <v>1.0</v>
      </c>
      <c r="E57" s="1">
        <v>1.0</v>
      </c>
      <c r="F57" s="1">
        <v>1.0</v>
      </c>
      <c r="G57" s="1">
        <v>1.0</v>
      </c>
      <c r="H57" s="1">
        <v>1.0</v>
      </c>
      <c r="I57" s="1">
        <v>1.0</v>
      </c>
      <c r="J57" s="1">
        <v>1.0</v>
      </c>
      <c r="K57" s="1">
        <v>1.421228615</v>
      </c>
      <c r="L57" s="1">
        <v>1.67659673</v>
      </c>
      <c r="M57" s="1">
        <v>1.946882004</v>
      </c>
      <c r="N57" s="1">
        <v>2.233430824</v>
      </c>
      <c r="O57" s="1">
        <v>2.537756633</v>
      </c>
      <c r="P57" s="1">
        <v>3.026708558</v>
      </c>
      <c r="Q57" s="1">
        <v>3.569739953</v>
      </c>
      <c r="R57" s="1">
        <v>3.356058837</v>
      </c>
      <c r="S57" s="1">
        <v>3.147601476</v>
      </c>
      <c r="T57" s="1">
        <v>4.170342469</v>
      </c>
      <c r="U57" s="1">
        <v>5.357716611</v>
      </c>
      <c r="W57" s="2" t="str">
        <f>IF('расчет'!R24&lt;50000,50000,'расчет'!R24)</f>
        <v>158297.851</v>
      </c>
      <c r="X57" s="2" t="str">
        <f t="shared" si="28"/>
        <v>150000</v>
      </c>
      <c r="Y57" s="2" t="str">
        <f t="shared" si="29"/>
        <v>175000</v>
      </c>
      <c r="Z57" s="2" t="str">
        <f t="shared" si="30"/>
        <v>0.6680859584</v>
      </c>
      <c r="AA57" s="2" t="str">
        <f t="shared" si="31"/>
        <v>0.3319140416</v>
      </c>
      <c r="AB57" s="2" t="str">
        <f>'расчет'!P24</f>
        <v>8.407959642</v>
      </c>
      <c r="AC57" s="2" t="str">
        <f t="shared" ref="AC57:AD57" si="40">AC56</f>
        <v>2</v>
      </c>
      <c r="AD57" s="2" t="str">
        <f t="shared" si="40"/>
        <v>25</v>
      </c>
      <c r="AE57" s="2" t="str">
        <f t="shared" si="33"/>
        <v>8</v>
      </c>
      <c r="AF57" s="2" t="str">
        <f t="shared" si="34"/>
        <v>8.5</v>
      </c>
      <c r="AG57" s="2" t="str">
        <f t="shared" si="35"/>
        <v>0.1840807162</v>
      </c>
      <c r="AH57" s="2" t="str">
        <f t="shared" si="36"/>
        <v>0.8159192838</v>
      </c>
      <c r="AI57" s="2" t="str">
        <f>VLOOKUP(AE57,B56:U102,(X57/25000),FALSE)</f>
        <v>4.165164779</v>
      </c>
      <c r="AJ57" s="2" t="str">
        <f>VLOOKUP(AF57,B56:U102,(X57/25000),FALSE)</f>
        <v>4.520749749</v>
      </c>
      <c r="AK57" s="2" t="str">
        <f>VLOOKUP(AE57,B56:U102,(Y57/25000),FALSE)</f>
        <v>4.210700789</v>
      </c>
      <c r="AL57" s="2" t="str">
        <f>VLOOKUP(AF57,B56:U102,(Y57/25000),FALSE)</f>
        <v>5.04329709</v>
      </c>
      <c r="AM57" s="2" t="str">
        <f t="shared" si="37"/>
        <v>4.455293413</v>
      </c>
      <c r="AN57" s="2" t="str">
        <f t="shared" si="38"/>
        <v>4.890032167</v>
      </c>
      <c r="AO57" s="2" t="str">
        <f t="shared" si="39"/>
        <v>4.59958931</v>
      </c>
    </row>
    <row r="58" ht="12.75" customHeight="1">
      <c r="B58" s="1">
        <v>3.0</v>
      </c>
      <c r="C58" s="1">
        <v>1.0</v>
      </c>
      <c r="D58" s="1">
        <v>1.0</v>
      </c>
      <c r="E58" s="1">
        <v>1.0</v>
      </c>
      <c r="F58" s="1">
        <v>1.0</v>
      </c>
      <c r="G58" s="1">
        <v>1.0</v>
      </c>
      <c r="H58" s="1">
        <v>1.0</v>
      </c>
      <c r="I58" s="1">
        <v>1.0</v>
      </c>
      <c r="J58" s="1">
        <v>1.037878453</v>
      </c>
      <c r="K58" s="1">
        <v>1.878356164</v>
      </c>
      <c r="L58" s="1">
        <v>1.960426559</v>
      </c>
      <c r="M58" s="1">
        <v>2.048291721</v>
      </c>
      <c r="N58" s="1">
        <v>2.47077967</v>
      </c>
      <c r="O58" s="1">
        <v>2.924784326</v>
      </c>
      <c r="P58" s="1">
        <v>3.413968945</v>
      </c>
      <c r="Q58" s="1">
        <v>3.942587383</v>
      </c>
      <c r="R58" s="1">
        <v>4.00961654</v>
      </c>
      <c r="S58" s="1">
        <v>4.077773468</v>
      </c>
      <c r="T58" s="1">
        <v>4.954825462</v>
      </c>
      <c r="U58" s="1">
        <v>5.941317627</v>
      </c>
      <c r="W58" s="2" t="str">
        <f>IF('расчет'!R25&lt;50000,50000,'расчет'!R25)</f>
        <v>155303.7932</v>
      </c>
      <c r="X58" s="2" t="str">
        <f t="shared" si="28"/>
        <v>150000</v>
      </c>
      <c r="Y58" s="2" t="str">
        <f t="shared" si="29"/>
        <v>175000</v>
      </c>
      <c r="Z58" s="2" t="str">
        <f t="shared" si="30"/>
        <v>0.7878482728</v>
      </c>
      <c r="AA58" s="2" t="str">
        <f t="shared" si="31"/>
        <v>0.2121517272</v>
      </c>
      <c r="AB58" s="2" t="str">
        <f>'расчет'!P25</f>
        <v>8.972215942</v>
      </c>
      <c r="AC58" s="2" t="str">
        <f t="shared" ref="AC58:AD58" si="41">AC57</f>
        <v>2</v>
      </c>
      <c r="AD58" s="2" t="str">
        <f t="shared" si="41"/>
        <v>25</v>
      </c>
      <c r="AE58" s="2" t="str">
        <f t="shared" si="33"/>
        <v>8.5</v>
      </c>
      <c r="AF58" s="2" t="str">
        <f t="shared" si="34"/>
        <v>9</v>
      </c>
      <c r="AG58" s="2" t="str">
        <f t="shared" si="35"/>
        <v>0.05556811655</v>
      </c>
      <c r="AH58" s="2" t="str">
        <f t="shared" si="36"/>
        <v>0.9444318834</v>
      </c>
      <c r="AI58" s="2" t="str">
        <f>VLOOKUP(AE58,B56:U102,(X58/25000),FALSE)</f>
        <v>4.520749749</v>
      </c>
      <c r="AJ58" s="2" t="str">
        <f>VLOOKUP(AF58,B56:U102,(X58/25000),FALSE)</f>
        <v>4.85826002</v>
      </c>
      <c r="AK58" s="2" t="str">
        <f>VLOOKUP(AE58,B56:U102,(Y58/25000),FALSE)</f>
        <v>5.04329709</v>
      </c>
      <c r="AL58" s="2" t="str">
        <f>VLOOKUP(AF58,B56:U102,(Y58/25000),FALSE)</f>
        <v>5.527748232</v>
      </c>
      <c r="AM58" s="2" t="str">
        <f t="shared" si="37"/>
        <v>4.83950521</v>
      </c>
      <c r="AN58" s="2" t="str">
        <f t="shared" si="38"/>
        <v>5.500828194</v>
      </c>
      <c r="AO58" s="2" t="str">
        <f t="shared" si="39"/>
        <v>4.979806023</v>
      </c>
    </row>
    <row r="59" ht="12.75" customHeight="1">
      <c r="B59" s="1">
        <v>3.5</v>
      </c>
      <c r="C59" s="1">
        <v>1.0</v>
      </c>
      <c r="D59" s="1">
        <v>1.0</v>
      </c>
      <c r="E59" s="1">
        <v>1.0</v>
      </c>
      <c r="F59" s="1">
        <v>1.0</v>
      </c>
      <c r="G59" s="1">
        <v>1.0</v>
      </c>
      <c r="H59" s="1">
        <v>1.0</v>
      </c>
      <c r="I59" s="1">
        <v>1.0</v>
      </c>
      <c r="J59" s="1">
        <v>1.452622175</v>
      </c>
      <c r="K59" s="1">
        <v>2.347286512</v>
      </c>
      <c r="L59" s="1">
        <v>2.650301329</v>
      </c>
      <c r="M59" s="1">
        <v>2.983265027</v>
      </c>
      <c r="N59" s="1">
        <v>3.288895722</v>
      </c>
      <c r="O59" s="1">
        <v>3.612719378</v>
      </c>
      <c r="P59" s="1">
        <v>3.956410256</v>
      </c>
      <c r="Q59" s="1">
        <v>4.321854559</v>
      </c>
      <c r="R59" s="1">
        <v>4.672312768</v>
      </c>
      <c r="S59" s="1">
        <v>5.039846666</v>
      </c>
      <c r="T59" s="1">
        <v>6.09151726</v>
      </c>
      <c r="U59" s="1">
        <v>7.27998176</v>
      </c>
      <c r="W59" s="2" t="str">
        <f>IF('расчет'!R26&lt;50000,50000,'расчет'!R26)</f>
        <v>152048.384</v>
      </c>
      <c r="X59" s="2" t="str">
        <f t="shared" si="28"/>
        <v>150000</v>
      </c>
      <c r="Y59" s="2" t="str">
        <f t="shared" si="29"/>
        <v>175000</v>
      </c>
      <c r="Z59" s="2" t="str">
        <f t="shared" si="30"/>
        <v>0.9180646404</v>
      </c>
      <c r="AA59" s="2" t="str">
        <f t="shared" si="31"/>
        <v>0.08193535957</v>
      </c>
      <c r="AB59" s="2" t="str">
        <f>'расчет'!P26</f>
        <v>9.459475009</v>
      </c>
      <c r="AC59" s="2" t="str">
        <f t="shared" ref="AC59:AD59" si="42">AC58</f>
        <v>2</v>
      </c>
      <c r="AD59" s="2" t="str">
        <f t="shared" si="42"/>
        <v>25</v>
      </c>
      <c r="AE59" s="2" t="str">
        <f t="shared" si="33"/>
        <v>9</v>
      </c>
      <c r="AF59" s="2" t="str">
        <f t="shared" si="34"/>
        <v>9.5</v>
      </c>
      <c r="AG59" s="2" t="str">
        <f t="shared" si="35"/>
        <v>0.08104998293</v>
      </c>
      <c r="AH59" s="2" t="str">
        <f t="shared" si="36"/>
        <v>0.9189500171</v>
      </c>
      <c r="AI59" s="2" t="str">
        <f>VLOOKUP(AE59,B56:U102,(X59/25000),FALSE)</f>
        <v>4.85826002</v>
      </c>
      <c r="AJ59" s="2" t="str">
        <f>VLOOKUP(AF59,B56:U102,(X59/25000),FALSE)</f>
        <v>5.220336951</v>
      </c>
      <c r="AK59" s="2" t="str">
        <f>VLOOKUP(AE59,B56:U102,(Y59/25000),FALSE)</f>
        <v>5.527748232</v>
      </c>
      <c r="AL59" s="2" t="str">
        <f>VLOOKUP(AF59,B56:U102,(Y59/25000),FALSE)</f>
        <v>5.656972136</v>
      </c>
      <c r="AM59" s="2" t="str">
        <f t="shared" si="37"/>
        <v>5.190990622</v>
      </c>
      <c r="AN59" s="2" t="str">
        <f t="shared" si="38"/>
        <v>5.646498541</v>
      </c>
      <c r="AO59" s="2" t="str">
        <f t="shared" si="39"/>
        <v>5.228312827</v>
      </c>
    </row>
    <row r="60" ht="12.75" customHeight="1">
      <c r="B60" s="1">
        <v>4.0</v>
      </c>
      <c r="C60" s="1">
        <v>1.0</v>
      </c>
      <c r="D60" s="1">
        <v>1.0</v>
      </c>
      <c r="E60" s="1">
        <v>1.0</v>
      </c>
      <c r="F60" s="1">
        <v>1.0</v>
      </c>
      <c r="G60" s="1">
        <v>1.0</v>
      </c>
      <c r="H60" s="1">
        <v>1.0</v>
      </c>
      <c r="I60" s="1">
        <v>1.0</v>
      </c>
      <c r="J60" s="1">
        <v>1.79431003</v>
      </c>
      <c r="K60" s="1">
        <v>2.828482749</v>
      </c>
      <c r="L60" s="1">
        <v>3.334168636</v>
      </c>
      <c r="M60" s="1">
        <v>3.90569395</v>
      </c>
      <c r="N60" s="1">
        <v>3.667240086</v>
      </c>
      <c r="O60" s="1">
        <v>3.432770536</v>
      </c>
      <c r="P60" s="1">
        <v>4.394850986</v>
      </c>
      <c r="Q60" s="1">
        <v>5.493506494</v>
      </c>
      <c r="R60" s="1">
        <v>5.868842396</v>
      </c>
      <c r="S60" s="1">
        <v>6.262710976</v>
      </c>
      <c r="T60" s="1">
        <v>7.48384941</v>
      </c>
      <c r="U60" s="1">
        <v>8.867767613</v>
      </c>
      <c r="W60" s="2" t="str">
        <f>IF('расчет'!R27&lt;50000,50000,'расчет'!R27)</f>
        <v>148436.2342</v>
      </c>
      <c r="X60" s="2" t="str">
        <f t="shared" si="28"/>
        <v>125000</v>
      </c>
      <c r="Y60" s="2" t="str">
        <f t="shared" si="29"/>
        <v>150000</v>
      </c>
      <c r="Z60" s="2" t="str">
        <f t="shared" si="30"/>
        <v>0.06255063385</v>
      </c>
      <c r="AA60" s="2" t="str">
        <f t="shared" si="31"/>
        <v>0.9374493661</v>
      </c>
      <c r="AB60" s="2" t="str">
        <f>'расчет'!P27</f>
        <v>9.880167544</v>
      </c>
      <c r="AC60" s="2" t="str">
        <f t="shared" ref="AC60:AD60" si="43">AC59</f>
        <v>2</v>
      </c>
      <c r="AD60" s="2" t="str">
        <f t="shared" si="43"/>
        <v>25</v>
      </c>
      <c r="AE60" s="2" t="str">
        <f t="shared" si="33"/>
        <v>9.5</v>
      </c>
      <c r="AF60" s="2" t="str">
        <f t="shared" si="34"/>
        <v>10</v>
      </c>
      <c r="AG60" s="2" t="str">
        <f t="shared" si="35"/>
        <v>0.2396649114</v>
      </c>
      <c r="AH60" s="2" t="str">
        <f t="shared" si="36"/>
        <v>0.7603350886</v>
      </c>
      <c r="AI60" s="2" t="str">
        <f>VLOOKUP(AE60,B56:U102,(X60/25000),FALSE)</f>
        <v>5.10910459</v>
      </c>
      <c r="AJ60" s="2" t="str">
        <f>VLOOKUP(AF60,B56:U102,(X60/25000),FALSE)</f>
        <v>5.431417797</v>
      </c>
      <c r="AK60" s="2" t="str">
        <f>VLOOKUP(AE60,B56:U102,(Y60/25000),FALSE)</f>
        <v>5.220336951</v>
      </c>
      <c r="AL60" s="2" t="str">
        <f>VLOOKUP(AF60,B56:U102,(Y60/25000),FALSE)</f>
        <v>5.783470885</v>
      </c>
      <c r="AM60" s="2" t="str">
        <f t="shared" si="37"/>
        <v>5.354170631</v>
      </c>
      <c r="AN60" s="2" t="str">
        <f t="shared" si="38"/>
        <v>5.648507441</v>
      </c>
      <c r="AO60" s="2" t="str">
        <f t="shared" si="39"/>
        <v>5.630096487</v>
      </c>
    </row>
    <row r="61" ht="12.75" customHeight="1">
      <c r="B61" s="1">
        <v>4.5</v>
      </c>
      <c r="C61" s="1">
        <v>1.0</v>
      </c>
      <c r="D61" s="1">
        <v>1.0</v>
      </c>
      <c r="E61" s="1">
        <v>1.0</v>
      </c>
      <c r="F61" s="1">
        <v>1.0</v>
      </c>
      <c r="G61" s="1">
        <v>1.0</v>
      </c>
      <c r="H61" s="1">
        <v>1.0</v>
      </c>
      <c r="I61" s="1">
        <v>1.439671296</v>
      </c>
      <c r="J61" s="1">
        <v>2.317277209</v>
      </c>
      <c r="K61" s="1">
        <v>3.322432516</v>
      </c>
      <c r="L61" s="1">
        <v>3.406210188</v>
      </c>
      <c r="M61" s="1">
        <v>3.495252628</v>
      </c>
      <c r="N61" s="1">
        <v>4.242786863</v>
      </c>
      <c r="O61" s="1">
        <v>5.061762794</v>
      </c>
      <c r="P61" s="1">
        <v>5.962935869</v>
      </c>
      <c r="Q61" s="1">
        <v>6.959334566</v>
      </c>
      <c r="R61" s="1">
        <v>7.354862501</v>
      </c>
      <c r="S61" s="1">
        <v>7.771527477</v>
      </c>
      <c r="T61" s="1">
        <v>9.239829924</v>
      </c>
      <c r="U61" s="1">
        <v>10.90318627</v>
      </c>
      <c r="W61" s="2" t="str">
        <f>IF('расчет'!R28&lt;50000,50000,'расчет'!R28)</f>
        <v>144372.9701</v>
      </c>
      <c r="X61" s="2" t="str">
        <f t="shared" si="28"/>
        <v>125000</v>
      </c>
      <c r="Y61" s="2" t="str">
        <f t="shared" si="29"/>
        <v>150000</v>
      </c>
      <c r="Z61" s="2" t="str">
        <f t="shared" si="30"/>
        <v>0.2250811965</v>
      </c>
      <c r="AA61" s="2" t="str">
        <f t="shared" si="31"/>
        <v>0.7749188035</v>
      </c>
      <c r="AB61" s="2" t="str">
        <f>'расчет'!P28</f>
        <v>10.2479629</v>
      </c>
      <c r="AC61" s="2" t="str">
        <f t="shared" ref="AC61:AD61" si="44">AC60</f>
        <v>2</v>
      </c>
      <c r="AD61" s="2" t="str">
        <f t="shared" si="44"/>
        <v>25</v>
      </c>
      <c r="AE61" s="2" t="str">
        <f t="shared" si="33"/>
        <v>10</v>
      </c>
      <c r="AF61" s="2" t="str">
        <f t="shared" si="34"/>
        <v>10.5</v>
      </c>
      <c r="AG61" s="2" t="str">
        <f t="shared" si="35"/>
        <v>0.5040741949</v>
      </c>
      <c r="AH61" s="2" t="str">
        <f t="shared" si="36"/>
        <v>0.4959258051</v>
      </c>
      <c r="AI61" s="2" t="str">
        <f>VLOOKUP(AE61,B56:U102,(X61/25000),FALSE)</f>
        <v>5.431417797</v>
      </c>
      <c r="AJ61" s="2" t="str">
        <f>VLOOKUP(AF61,B56:U102,(X61/25000),FALSE)</f>
        <v>5.429490379</v>
      </c>
      <c r="AK61" s="2" t="str">
        <f>VLOOKUP(AE61,B56:U102,(Y61/25000),FALSE)</f>
        <v>5.783470885</v>
      </c>
      <c r="AL61" s="2" t="str">
        <f>VLOOKUP(AF61,B56:U102,(Y61/25000),FALSE)</f>
        <v>6.26759424</v>
      </c>
      <c r="AM61" s="2" t="str">
        <f t="shared" si="37"/>
        <v>5.430461941</v>
      </c>
      <c r="AN61" s="2" t="str">
        <f t="shared" si="38"/>
        <v>6.02356015</v>
      </c>
      <c r="AO61" s="2" t="str">
        <f t="shared" si="39"/>
        <v>5.890064895</v>
      </c>
    </row>
    <row r="62" ht="12.75" customHeight="1">
      <c r="B62" s="1">
        <v>5.0</v>
      </c>
      <c r="C62" s="1">
        <v>1.0</v>
      </c>
      <c r="D62" s="1">
        <v>1.0</v>
      </c>
      <c r="E62" s="1">
        <v>1.003047232</v>
      </c>
      <c r="F62" s="1">
        <v>1.154744147</v>
      </c>
      <c r="G62" s="1">
        <v>1.10311428</v>
      </c>
      <c r="H62" s="1">
        <v>1.37360783</v>
      </c>
      <c r="I62" s="1">
        <v>2.000839345</v>
      </c>
      <c r="J62" s="1">
        <v>2.849214684</v>
      </c>
      <c r="K62" s="1">
        <v>3.829649645</v>
      </c>
      <c r="L62" s="1">
        <v>4.105127668</v>
      </c>
      <c r="M62" s="1">
        <v>4.401705683</v>
      </c>
      <c r="N62" s="1">
        <v>5.22752649</v>
      </c>
      <c r="O62" s="1">
        <v>6.135482945</v>
      </c>
      <c r="P62" s="1">
        <v>7.138470058</v>
      </c>
      <c r="Q62" s="1">
        <v>8.252231194</v>
      </c>
      <c r="R62" s="1">
        <v>8.816561617</v>
      </c>
      <c r="S62" s="1">
        <v>9.40725089</v>
      </c>
      <c r="T62" s="1">
        <v>10.98212171</v>
      </c>
      <c r="U62" s="1">
        <v>12.77468354</v>
      </c>
      <c r="W62" s="2" t="str">
        <f>IF('расчет'!R29&lt;50000,50000,'расчет'!R29)</f>
        <v>139766.3665</v>
      </c>
      <c r="X62" s="2" t="str">
        <f t="shared" si="28"/>
        <v>125000</v>
      </c>
      <c r="Y62" s="2" t="str">
        <f t="shared" si="29"/>
        <v>150000</v>
      </c>
      <c r="Z62" s="2" t="str">
        <f t="shared" si="30"/>
        <v>0.4093453385</v>
      </c>
      <c r="AA62" s="2" t="str">
        <f t="shared" si="31"/>
        <v>0.5906546615</v>
      </c>
      <c r="AB62" s="2" t="str">
        <f>'расчет'!P29</f>
        <v>10.5809717</v>
      </c>
      <c r="AC62" s="2" t="str">
        <f t="shared" ref="AC62:AD62" si="45">AC61</f>
        <v>2</v>
      </c>
      <c r="AD62" s="2" t="str">
        <f t="shared" si="45"/>
        <v>25</v>
      </c>
      <c r="AE62" s="2" t="str">
        <f t="shared" si="33"/>
        <v>10.5</v>
      </c>
      <c r="AF62" s="2" t="str">
        <f t="shared" si="34"/>
        <v>11</v>
      </c>
      <c r="AG62" s="2" t="str">
        <f t="shared" si="35"/>
        <v>0.8380565967</v>
      </c>
      <c r="AH62" s="2" t="str">
        <f t="shared" si="36"/>
        <v>0.1619434033</v>
      </c>
      <c r="AI62" s="2" t="str">
        <f>VLOOKUP(AE62,B56:U102,(X62/25000),FALSE)</f>
        <v>5.429490379</v>
      </c>
      <c r="AJ62" s="2" t="str">
        <f>VLOOKUP(AF62,B56:U102,(X62/25000),FALSE)</f>
        <v>5.716893996</v>
      </c>
      <c r="AK62" s="2" t="str">
        <f>VLOOKUP(AE62,B56:U102,(Y62/25000),FALSE)</f>
        <v>6.26759424</v>
      </c>
      <c r="AL62" s="2" t="str">
        <f>VLOOKUP(AF62,B56:U102,(Y62/25000),FALSE)</f>
        <v>5.926827948</v>
      </c>
      <c r="AM62" s="2" t="str">
        <f t="shared" si="37"/>
        <v>5.476033499</v>
      </c>
      <c r="AN62" s="2" t="str">
        <f t="shared" si="38"/>
        <v>6.212409387</v>
      </c>
      <c r="AO62" s="2" t="str">
        <f t="shared" si="39"/>
        <v>5.91097735</v>
      </c>
    </row>
    <row r="63" ht="12.75" customHeight="1">
      <c r="B63" s="1">
        <v>5.5</v>
      </c>
      <c r="C63" s="1">
        <v>1.0</v>
      </c>
      <c r="D63" s="1">
        <v>1.0</v>
      </c>
      <c r="E63" s="1">
        <v>1.027237354</v>
      </c>
      <c r="F63" s="1">
        <v>1.787486307</v>
      </c>
      <c r="G63" s="1">
        <v>1.782204873</v>
      </c>
      <c r="H63" s="1">
        <v>1.841067847</v>
      </c>
      <c r="I63" s="1">
        <v>2.566940988</v>
      </c>
      <c r="J63" s="1">
        <v>3.390355249</v>
      </c>
      <c r="K63" s="1">
        <v>4.350675952</v>
      </c>
      <c r="L63" s="1">
        <v>4.893054964</v>
      </c>
      <c r="M63" s="1">
        <v>5.48069241</v>
      </c>
      <c r="N63" s="1">
        <v>6.392140468</v>
      </c>
      <c r="O63" s="1">
        <v>7.39257527</v>
      </c>
      <c r="P63" s="1">
        <v>8.495697603</v>
      </c>
      <c r="Q63" s="1">
        <v>9.718172983</v>
      </c>
      <c r="R63" s="1">
        <v>10.28500414</v>
      </c>
      <c r="S63" s="1">
        <v>10.87856174</v>
      </c>
      <c r="T63" s="1">
        <v>12.72235577</v>
      </c>
      <c r="U63" s="1">
        <v>14.81400718</v>
      </c>
      <c r="W63" s="2" t="str">
        <f>IF('расчет'!R30&lt;50000,50000,'расчет'!R30)</f>
        <v>134527.6688</v>
      </c>
      <c r="X63" s="2" t="str">
        <f t="shared" si="28"/>
        <v>125000</v>
      </c>
      <c r="Y63" s="2" t="str">
        <f t="shared" si="29"/>
        <v>150000</v>
      </c>
      <c r="Z63" s="2" t="str">
        <f t="shared" si="30"/>
        <v>0.6188932465</v>
      </c>
      <c r="AA63" s="2" t="str">
        <f t="shared" si="31"/>
        <v>0.3811067535</v>
      </c>
      <c r="AB63" s="2" t="str">
        <f>'расчет'!P30</f>
        <v>10.90349584</v>
      </c>
      <c r="AC63" s="2" t="str">
        <f t="shared" ref="AC63:AD63" si="46">AC62</f>
        <v>2</v>
      </c>
      <c r="AD63" s="2" t="str">
        <f t="shared" si="46"/>
        <v>25</v>
      </c>
      <c r="AE63" s="2" t="str">
        <f t="shared" si="33"/>
        <v>10.5</v>
      </c>
      <c r="AF63" s="2" t="str">
        <f t="shared" si="34"/>
        <v>11</v>
      </c>
      <c r="AG63" s="2" t="str">
        <f t="shared" si="35"/>
        <v>0.1930083163</v>
      </c>
      <c r="AH63" s="2" t="str">
        <f t="shared" si="36"/>
        <v>0.8069916837</v>
      </c>
      <c r="AI63" s="2" t="str">
        <f>VLOOKUP(AE63,B56:U102,(X63/25000),FALSE)</f>
        <v>5.429490379</v>
      </c>
      <c r="AJ63" s="2" t="str">
        <f>VLOOKUP(AF63,B56:U102,(X63/25000),FALSE)</f>
        <v>5.716893996</v>
      </c>
      <c r="AK63" s="2" t="str">
        <f>VLOOKUP(AE63,B56:U102,(Y63/25000),FALSE)</f>
        <v>6.26759424</v>
      </c>
      <c r="AL63" s="2" t="str">
        <f>VLOOKUP(AF63,B56:U102,(Y63/25000),FALSE)</f>
        <v>5.926827948</v>
      </c>
      <c r="AM63" s="2" t="str">
        <f t="shared" si="37"/>
        <v>5.661422708</v>
      </c>
      <c r="AN63" s="2" t="str">
        <f t="shared" si="38"/>
        <v>5.992598676</v>
      </c>
      <c r="AO63" s="2" t="str">
        <f t="shared" si="39"/>
        <v>5.787636106</v>
      </c>
    </row>
    <row r="64" ht="12.75" customHeight="1">
      <c r="B64" s="1">
        <v>6.0</v>
      </c>
      <c r="C64" s="1">
        <v>1.148623396</v>
      </c>
      <c r="D64" s="1">
        <v>1.0</v>
      </c>
      <c r="E64" s="1">
        <v>1.457775456</v>
      </c>
      <c r="F64" s="1">
        <v>1.629535752</v>
      </c>
      <c r="G64" s="1">
        <v>1.805743701</v>
      </c>
      <c r="H64" s="1">
        <v>1.988714561</v>
      </c>
      <c r="I64" s="1">
        <v>3.138041572</v>
      </c>
      <c r="J64" s="1">
        <v>4.165556711</v>
      </c>
      <c r="K64" s="1">
        <v>5.379229872</v>
      </c>
      <c r="L64" s="1">
        <v>6.108719979</v>
      </c>
      <c r="M64" s="1">
        <v>6.887682449</v>
      </c>
      <c r="N64" s="1">
        <v>7.840445615</v>
      </c>
      <c r="O64" s="1">
        <v>8.888182041</v>
      </c>
      <c r="P64" s="1">
        <v>10.0458373</v>
      </c>
      <c r="Q64" s="1">
        <v>11.33166649</v>
      </c>
      <c r="R64" s="1">
        <v>12.47924315</v>
      </c>
      <c r="S64" s="1">
        <v>13.72031507</v>
      </c>
      <c r="T64" s="1">
        <v>15.06679331</v>
      </c>
      <c r="U64" s="1">
        <v>16.53270191</v>
      </c>
      <c r="W64" s="2" t="str">
        <f>IF('расчет'!R31&lt;50000,50000,'расчет'!R31)</f>
        <v>128573.0727</v>
      </c>
      <c r="X64" s="2" t="str">
        <f t="shared" si="28"/>
        <v>125000</v>
      </c>
      <c r="Y64" s="2" t="str">
        <f t="shared" si="29"/>
        <v>150000</v>
      </c>
      <c r="Z64" s="2" t="str">
        <f t="shared" si="30"/>
        <v>0.8570770934</v>
      </c>
      <c r="AA64" s="2" t="str">
        <f t="shared" si="31"/>
        <v>0.1429229066</v>
      </c>
      <c r="AB64" s="2" t="str">
        <f>'расчет'!P31</f>
        <v>11.24863784</v>
      </c>
      <c r="AC64" s="2" t="str">
        <f t="shared" ref="AC64:AD64" si="47">AC63</f>
        <v>2</v>
      </c>
      <c r="AD64" s="2" t="str">
        <f t="shared" si="47"/>
        <v>25</v>
      </c>
      <c r="AE64" s="2" t="str">
        <f t="shared" si="33"/>
        <v>11</v>
      </c>
      <c r="AF64" s="2" t="str">
        <f t="shared" si="34"/>
        <v>11.5</v>
      </c>
      <c r="AG64" s="2" t="str">
        <f t="shared" si="35"/>
        <v>0.5027243149</v>
      </c>
      <c r="AH64" s="2" t="str">
        <f t="shared" si="36"/>
        <v>0.4972756851</v>
      </c>
      <c r="AI64" s="2" t="str">
        <f>VLOOKUP(AE64,B56:U102,(X64/25000),FALSE)</f>
        <v>5.716893996</v>
      </c>
      <c r="AJ64" s="2" t="str">
        <f>VLOOKUP(AF64,B56:U102,(X64/25000),FALSE)</f>
        <v>5.995760521</v>
      </c>
      <c r="AK64" s="2" t="str">
        <f>VLOOKUP(AE64,B56:U102,(Y64/25000),FALSE)</f>
        <v>5.926827948</v>
      </c>
      <c r="AL64" s="2" t="str">
        <f>VLOOKUP(AF64,B56:U102,(Y64/25000),FALSE)</f>
        <v>6.157182145</v>
      </c>
      <c r="AM64" s="2" t="str">
        <f t="shared" si="37"/>
        <v>5.855567538</v>
      </c>
      <c r="AN64" s="2" t="str">
        <f t="shared" si="38"/>
        <v>6.041377489</v>
      </c>
      <c r="AO64" s="2" t="str">
        <f t="shared" si="39"/>
        <v>5.882124037</v>
      </c>
    </row>
    <row r="65" ht="12.75" customHeight="1">
      <c r="B65" s="1">
        <v>6.5</v>
      </c>
      <c r="C65" s="1">
        <v>1.579333986</v>
      </c>
      <c r="D65" s="1">
        <v>1.520006191</v>
      </c>
      <c r="E65" s="1">
        <v>2.063098885</v>
      </c>
      <c r="F65" s="1">
        <v>2.24340176</v>
      </c>
      <c r="G65" s="1">
        <v>2.682046138</v>
      </c>
      <c r="H65" s="1">
        <v>2.659979246</v>
      </c>
      <c r="I65" s="1">
        <v>3.714207606</v>
      </c>
      <c r="J65" s="1">
        <v>4.593639875</v>
      </c>
      <c r="K65" s="1">
        <v>5.595944909</v>
      </c>
      <c r="L65" s="1">
        <v>6.68432812</v>
      </c>
      <c r="M65" s="1">
        <v>7.896204353</v>
      </c>
      <c r="N65" s="1">
        <v>8.974539481</v>
      </c>
      <c r="O65" s="1">
        <v>10.15113597</v>
      </c>
      <c r="P65" s="1">
        <v>11.44006581</v>
      </c>
      <c r="Q65" s="1">
        <v>12.85822265</v>
      </c>
      <c r="R65" s="1">
        <v>13.55981683</v>
      </c>
      <c r="S65" s="1">
        <v>14.3099652</v>
      </c>
      <c r="T65" s="1">
        <v>15.84019077</v>
      </c>
      <c r="U65" s="1">
        <v>17.5142089</v>
      </c>
      <c r="W65" s="2" t="str">
        <f>IF('расчет'!R32&lt;50000,50000,'расчет'!R32)</f>
        <v>121825.3118</v>
      </c>
      <c r="X65" s="2" t="str">
        <f t="shared" si="28"/>
        <v>100000</v>
      </c>
      <c r="Y65" s="2" t="str">
        <f t="shared" si="29"/>
        <v>125000</v>
      </c>
      <c r="Z65" s="2" t="str">
        <f t="shared" si="30"/>
        <v>0.1269875283</v>
      </c>
      <c r="AA65" s="2" t="str">
        <f t="shared" si="31"/>
        <v>0.8730124717</v>
      </c>
      <c r="AB65" s="2" t="str">
        <f>'расчет'!P32</f>
        <v>11.66229685</v>
      </c>
      <c r="AC65" s="2" t="str">
        <f t="shared" ref="AC65:AD65" si="48">AC64</f>
        <v>2</v>
      </c>
      <c r="AD65" s="2" t="str">
        <f t="shared" si="48"/>
        <v>25</v>
      </c>
      <c r="AE65" s="2" t="str">
        <f t="shared" si="33"/>
        <v>11.5</v>
      </c>
      <c r="AF65" s="2" t="str">
        <f t="shared" si="34"/>
        <v>12</v>
      </c>
      <c r="AG65" s="2" t="str">
        <f t="shared" si="35"/>
        <v>0.6754062992</v>
      </c>
      <c r="AH65" s="2" t="str">
        <f t="shared" si="36"/>
        <v>0.3245937008</v>
      </c>
      <c r="AI65" s="2" t="str">
        <f>VLOOKUP(AE65,B56:U102,(X65/25000),FALSE)</f>
        <v>5.658266181</v>
      </c>
      <c r="AJ65" s="2" t="str">
        <f>VLOOKUP(AF65,B56:U102,(X65/25000),FALSE)</f>
        <v>5.855221634</v>
      </c>
      <c r="AK65" s="2" t="str">
        <f>VLOOKUP(AE65,B56:U102,(Y65/25000),FALSE)</f>
        <v>5.995760521</v>
      </c>
      <c r="AL65" s="2" t="str">
        <f>VLOOKUP(AF65,B56:U102,(Y65/25000),FALSE)</f>
        <v>6.169058539</v>
      </c>
      <c r="AM65" s="2" t="str">
        <f t="shared" si="37"/>
        <v>5.72219668</v>
      </c>
      <c r="AN65" s="2" t="str">
        <f t="shared" si="38"/>
        <v>6.052011966</v>
      </c>
      <c r="AO65" s="2" t="str">
        <f t="shared" si="39"/>
        <v>6.010129538</v>
      </c>
    </row>
    <row r="66" ht="12.75" customHeight="1">
      <c r="B66" s="1">
        <v>7.0</v>
      </c>
      <c r="C66" s="1">
        <v>1.844514107</v>
      </c>
      <c r="D66" s="1">
        <v>2.074590346</v>
      </c>
      <c r="E66" s="1">
        <v>2.629888896</v>
      </c>
      <c r="F66" s="1">
        <v>3.057653819</v>
      </c>
      <c r="G66" s="1">
        <v>3.253221176</v>
      </c>
      <c r="H66" s="1">
        <v>3.705109093</v>
      </c>
      <c r="I66" s="1">
        <v>4.295506784</v>
      </c>
      <c r="J66" s="1">
        <v>5.011537255</v>
      </c>
      <c r="K66" s="1">
        <v>5.799702218</v>
      </c>
      <c r="L66" s="1">
        <v>6.766980131</v>
      </c>
      <c r="M66" s="1">
        <v>7.829365995</v>
      </c>
      <c r="N66" s="1">
        <v>9.001612371</v>
      </c>
      <c r="O66" s="1">
        <v>10.30168928</v>
      </c>
      <c r="P66" s="1">
        <v>12.05492016</v>
      </c>
      <c r="Q66" s="1">
        <v>14.02967423</v>
      </c>
      <c r="R66" s="1">
        <v>14.44290254</v>
      </c>
      <c r="S66" s="1">
        <v>14.87880752</v>
      </c>
      <c r="T66" s="1">
        <v>16.58969247</v>
      </c>
      <c r="U66" s="1">
        <v>18.47012733</v>
      </c>
      <c r="W66" s="2" t="str">
        <f>IF('расчет'!R33&lt;50000,50000,'расчет'!R33)</f>
        <v>114215.2829</v>
      </c>
      <c r="X66" s="2" t="str">
        <f t="shared" si="28"/>
        <v>100000</v>
      </c>
      <c r="Y66" s="2" t="str">
        <f t="shared" si="29"/>
        <v>125000</v>
      </c>
      <c r="Z66" s="2" t="str">
        <f t="shared" si="30"/>
        <v>0.4313886844</v>
      </c>
      <c r="AA66" s="2" t="str">
        <f t="shared" si="31"/>
        <v>0.5686113156</v>
      </c>
      <c r="AB66" s="2" t="str">
        <f>'расчет'!P33</f>
        <v>12.20946957</v>
      </c>
      <c r="AC66" s="2" t="str">
        <f t="shared" ref="AC66:AD66" si="49">AC65</f>
        <v>2</v>
      </c>
      <c r="AD66" s="2" t="str">
        <f t="shared" si="49"/>
        <v>25</v>
      </c>
      <c r="AE66" s="2" t="str">
        <f t="shared" si="33"/>
        <v>12</v>
      </c>
      <c r="AF66" s="2" t="str">
        <f t="shared" si="34"/>
        <v>12.5</v>
      </c>
      <c r="AG66" s="2" t="str">
        <f t="shared" si="35"/>
        <v>0.5810608514</v>
      </c>
      <c r="AH66" s="2" t="str">
        <f t="shared" si="36"/>
        <v>0.4189391486</v>
      </c>
      <c r="AI66" s="2" t="str">
        <f>VLOOKUP(AE66,B56:U102,(X66/25000),FALSE)</f>
        <v>5.855221634</v>
      </c>
      <c r="AJ66" s="2" t="str">
        <f>VLOOKUP(AF66,B56:U102,(X66/25000),FALSE)</f>
        <v>5.820625611</v>
      </c>
      <c r="AK66" s="2" t="str">
        <f>VLOOKUP(AE66,B56:U102,(Y66/25000),FALSE)</f>
        <v>6.169058539</v>
      </c>
      <c r="AL66" s="2" t="str">
        <f>VLOOKUP(AF66,B56:U102,(Y66/25000),FALSE)</f>
        <v>6.019302153</v>
      </c>
      <c r="AM66" s="2" t="str">
        <f t="shared" si="37"/>
        <v>5.840728006</v>
      </c>
      <c r="AN66" s="2" t="str">
        <f t="shared" si="38"/>
        <v>6.106319726</v>
      </c>
      <c r="AO66" s="2" t="str">
        <f t="shared" si="39"/>
        <v>5.991746463</v>
      </c>
    </row>
    <row r="67" ht="12.75" customHeight="1">
      <c r="B67" s="1">
        <v>7.5</v>
      </c>
      <c r="C67" s="1">
        <v>2.592302124</v>
      </c>
      <c r="D67" s="1">
        <v>2.257682281</v>
      </c>
      <c r="E67" s="1">
        <v>3.507347713</v>
      </c>
      <c r="F67" s="1">
        <v>3.260855581</v>
      </c>
      <c r="G67" s="1">
        <v>3.313397129</v>
      </c>
      <c r="H67" s="1">
        <v>4.503903383</v>
      </c>
      <c r="I67" s="1">
        <v>4.882008009</v>
      </c>
      <c r="J67" s="1">
        <v>5.785833798</v>
      </c>
      <c r="K67" s="1">
        <v>6.764774224</v>
      </c>
      <c r="L67" s="1">
        <v>7.564870708</v>
      </c>
      <c r="M67" s="1">
        <v>8.437566001</v>
      </c>
      <c r="N67" s="1">
        <v>9.393210864</v>
      </c>
      <c r="O67" s="1">
        <v>10.44422191</v>
      </c>
      <c r="P67" s="1">
        <v>12.64625532</v>
      </c>
      <c r="Q67" s="1">
        <v>15.15395196</v>
      </c>
      <c r="R67" s="1">
        <v>15.28738195</v>
      </c>
      <c r="S67" s="1">
        <v>15.42792434</v>
      </c>
      <c r="T67" s="1">
        <v>17.31638902</v>
      </c>
      <c r="U67" s="1">
        <v>19.40144497</v>
      </c>
      <c r="W67" s="2" t="str">
        <f>IF('расчет'!R34&lt;50000,50000,'расчет'!R34)</f>
        <v>105683.6102</v>
      </c>
      <c r="X67" s="2" t="str">
        <f t="shared" si="28"/>
        <v>100000</v>
      </c>
      <c r="Y67" s="2" t="str">
        <f t="shared" si="29"/>
        <v>125000</v>
      </c>
      <c r="Z67" s="2" t="str">
        <f t="shared" si="30"/>
        <v>0.7726555915</v>
      </c>
      <c r="AA67" s="2" t="str">
        <f t="shared" si="31"/>
        <v>0.2273444085</v>
      </c>
      <c r="AB67" s="2" t="str">
        <f>'расчет'!P34</f>
        <v>12.98450331</v>
      </c>
      <c r="AC67" s="2" t="str">
        <f t="shared" ref="AC67:AD67" si="50">AC66</f>
        <v>2</v>
      </c>
      <c r="AD67" s="2" t="str">
        <f t="shared" si="50"/>
        <v>25</v>
      </c>
      <c r="AE67" s="2" t="str">
        <f t="shared" si="33"/>
        <v>12.5</v>
      </c>
      <c r="AF67" s="2" t="str">
        <f t="shared" si="34"/>
        <v>13</v>
      </c>
      <c r="AG67" s="2" t="str">
        <f t="shared" si="35"/>
        <v>0.03099337527</v>
      </c>
      <c r="AH67" s="2" t="str">
        <f t="shared" si="36"/>
        <v>0.9690066247</v>
      </c>
      <c r="AI67" s="2" t="str">
        <f>VLOOKUP(AE67,B56:U102,(X67/25000),FALSE)</f>
        <v>5.820625611</v>
      </c>
      <c r="AJ67" s="2" t="str">
        <f>VLOOKUP(AF67,B56:U102,(X67/25000),FALSE)</f>
        <v>5.955966451</v>
      </c>
      <c r="AK67" s="2" t="str">
        <f>VLOOKUP(AE67,B56:U102,(Y67/25000),FALSE)</f>
        <v>6.019302153</v>
      </c>
      <c r="AL67" s="2" t="str">
        <f>VLOOKUP(AF67,B56:U102,(Y67/25000),FALSE)</f>
        <v>6.171354016</v>
      </c>
      <c r="AM67" s="2" t="str">
        <f t="shared" si="37"/>
        <v>5.951771782</v>
      </c>
      <c r="AN67" s="2" t="str">
        <f t="shared" si="38"/>
        <v>6.166641416</v>
      </c>
      <c r="AO67" s="2" t="str">
        <f t="shared" si="39"/>
        <v>6.000621191</v>
      </c>
    </row>
    <row r="68" ht="12.75" customHeight="1">
      <c r="B68" s="1">
        <v>8.0</v>
      </c>
      <c r="C68" s="1">
        <v>2.874901461</v>
      </c>
      <c r="D68" s="1">
        <v>2.995000757</v>
      </c>
      <c r="E68" s="1">
        <v>3.49359975</v>
      </c>
      <c r="F68" s="1">
        <v>3.716211878</v>
      </c>
      <c r="G68" s="1">
        <v>4.165164779</v>
      </c>
      <c r="H68" s="1">
        <v>4.210700789</v>
      </c>
      <c r="I68" s="1">
        <v>5.822491033</v>
      </c>
      <c r="J68" s="1">
        <v>6.550030917</v>
      </c>
      <c r="K68" s="1">
        <v>7.329365677</v>
      </c>
      <c r="L68" s="1">
        <v>8.035281649</v>
      </c>
      <c r="M68" s="1">
        <v>8.80575436</v>
      </c>
      <c r="N68" s="1">
        <v>9.650063816</v>
      </c>
      <c r="O68" s="1">
        <v>10.5793582</v>
      </c>
      <c r="P68" s="1">
        <v>11.74076267</v>
      </c>
      <c r="Q68" s="1">
        <v>13.01275384</v>
      </c>
      <c r="R68" s="1">
        <v>14.41191602</v>
      </c>
      <c r="S68" s="1">
        <v>15.9583242</v>
      </c>
      <c r="T68" s="1">
        <v>18.02130566</v>
      </c>
      <c r="U68" s="1">
        <v>20.30909943</v>
      </c>
      <c r="W68" s="2" t="str">
        <f>IF('расчет'!R35&lt;50000,50000,'расчет'!R35)</f>
        <v>96182.02339</v>
      </c>
      <c r="X68" s="2" t="str">
        <f t="shared" si="28"/>
        <v>75000</v>
      </c>
      <c r="Y68" s="2" t="str">
        <f t="shared" si="29"/>
        <v>100000</v>
      </c>
      <c r="Z68" s="2" t="str">
        <f t="shared" si="30"/>
        <v>0.1527190645</v>
      </c>
      <c r="AA68" s="2" t="str">
        <f t="shared" si="31"/>
        <v>0.8472809355</v>
      </c>
      <c r="AB68" s="2" t="str">
        <f>'расчет'!P35</f>
        <v>14.12833628</v>
      </c>
      <c r="AC68" s="2" t="str">
        <f t="shared" ref="AC68:AD68" si="51">AC67</f>
        <v>2</v>
      </c>
      <c r="AD68" s="2" t="str">
        <f t="shared" si="51"/>
        <v>25</v>
      </c>
      <c r="AE68" s="2" t="str">
        <f t="shared" si="33"/>
        <v>14</v>
      </c>
      <c r="AF68" s="2" t="str">
        <f t="shared" si="34"/>
        <v>14.5</v>
      </c>
      <c r="AG68" s="2" t="str">
        <f t="shared" si="35"/>
        <v>0.7433274325</v>
      </c>
      <c r="AH68" s="2" t="str">
        <f t="shared" si="36"/>
        <v>0.2566725675</v>
      </c>
      <c r="AI68" s="2" t="str">
        <f>VLOOKUP(AE68,B56:U102,(X68/25000),FALSE)</f>
        <v>4.801222012</v>
      </c>
      <c r="AJ68" s="2" t="str">
        <f>VLOOKUP(AF68,B56:U102,(X68/25000),FALSE)</f>
        <v>4.696092619</v>
      </c>
      <c r="AK68" s="2" t="str">
        <f>VLOOKUP(AE68,B56:U102,(Y68/25000),FALSE)</f>
        <v>6.067444989</v>
      </c>
      <c r="AL68" s="2" t="str">
        <f>VLOOKUP(AF68,B56:U102,(Y68/25000),FALSE)</f>
        <v>6.068276511</v>
      </c>
      <c r="AM68" s="2" t="str">
        <f t="shared" si="37"/>
        <v>4.774238181</v>
      </c>
      <c r="AN68" s="2" t="str">
        <f t="shared" si="38"/>
        <v>6.067658418</v>
      </c>
      <c r="AO68" s="2" t="str">
        <f t="shared" si="39"/>
        <v>5.870128489</v>
      </c>
    </row>
    <row r="69" ht="12.75" customHeight="1">
      <c r="B69" s="1">
        <v>8.5</v>
      </c>
      <c r="C69" s="1">
        <v>3.362024739</v>
      </c>
      <c r="D69" s="1">
        <v>3.324099723</v>
      </c>
      <c r="E69" s="1">
        <v>3.951270535</v>
      </c>
      <c r="F69" s="1">
        <v>4.439329774</v>
      </c>
      <c r="G69" s="1">
        <v>4.520749749</v>
      </c>
      <c r="H69" s="1">
        <v>5.04329709</v>
      </c>
      <c r="I69" s="1">
        <v>6.639944713</v>
      </c>
      <c r="J69" s="1">
        <v>7.233785178</v>
      </c>
      <c r="K69" s="1">
        <v>7.863899685</v>
      </c>
      <c r="L69" s="1">
        <v>8.480920324</v>
      </c>
      <c r="M69" s="1">
        <v>9.154785448</v>
      </c>
      <c r="N69" s="1">
        <v>9.893729777</v>
      </c>
      <c r="O69" s="1">
        <v>10.70765928</v>
      </c>
      <c r="P69" s="1">
        <v>11.9435619</v>
      </c>
      <c r="Q69" s="1">
        <v>13.30247982</v>
      </c>
      <c r="R69" s="1">
        <v>14.8037414</v>
      </c>
      <c r="S69" s="1">
        <v>16.47094804</v>
      </c>
      <c r="T69" s="1">
        <v>18.70540709</v>
      </c>
      <c r="U69" s="1">
        <v>21.19398125</v>
      </c>
      <c r="W69" s="2" t="str">
        <f>IF('расчет'!R36&lt;50000,50000,'расчет'!R36)</f>
        <v>85674.39578</v>
      </c>
      <c r="X69" s="2" t="str">
        <f t="shared" si="28"/>
        <v>75000</v>
      </c>
      <c r="Y69" s="2" t="str">
        <f t="shared" si="29"/>
        <v>100000</v>
      </c>
      <c r="Z69" s="2" t="str">
        <f t="shared" si="30"/>
        <v>0.5730241689</v>
      </c>
      <c r="AA69" s="2" t="str">
        <f t="shared" si="31"/>
        <v>0.4269758311</v>
      </c>
      <c r="AB69" s="2" t="str">
        <f>'расчет'!P36</f>
        <v>15.85841006</v>
      </c>
      <c r="AC69" s="2" t="str">
        <f t="shared" ref="AC69:AD69" si="52">AC68</f>
        <v>2</v>
      </c>
      <c r="AD69" s="2" t="str">
        <f t="shared" si="52"/>
        <v>25</v>
      </c>
      <c r="AE69" s="2" t="str">
        <f t="shared" si="33"/>
        <v>15.5</v>
      </c>
      <c r="AF69" s="2" t="str">
        <f t="shared" si="34"/>
        <v>16</v>
      </c>
      <c r="AG69" s="2" t="str">
        <f t="shared" si="35"/>
        <v>0.2831798876</v>
      </c>
      <c r="AH69" s="2" t="str">
        <f t="shared" si="36"/>
        <v>0.7168201124</v>
      </c>
      <c r="AI69" s="2" t="str">
        <f>VLOOKUP(AE69,B56:U102,(X69/25000),FALSE)</f>
        <v>5.898555593</v>
      </c>
      <c r="AJ69" s="2" t="str">
        <f>VLOOKUP(AF69,B56:U102,(X69/25000),FALSE)</f>
        <v>5.835399504</v>
      </c>
      <c r="AK69" s="2" t="str">
        <f>VLOOKUP(AE69,B56:U102,(Y69/25000),FALSE)</f>
        <v>6.212373511</v>
      </c>
      <c r="AL69" s="2" t="str">
        <f>VLOOKUP(AF69,B56:U102,(Y69/25000),FALSE)</f>
        <v>6.113241051</v>
      </c>
      <c r="AM69" s="2" t="str">
        <f t="shared" si="37"/>
        <v>5.853284038</v>
      </c>
      <c r="AN69" s="2" t="str">
        <f t="shared" si="38"/>
        <v>6.14131337</v>
      </c>
      <c r="AO69" s="2" t="str">
        <f t="shared" si="39"/>
        <v>5.976265601</v>
      </c>
    </row>
    <row r="70" ht="12.75" customHeight="1">
      <c r="B70" s="1">
        <v>9.0</v>
      </c>
      <c r="C70" s="1">
        <v>3.799736646</v>
      </c>
      <c r="D70" s="1">
        <v>3.968979366</v>
      </c>
      <c r="E70" s="1">
        <v>4.523146537</v>
      </c>
      <c r="F70" s="1">
        <v>4.507179957</v>
      </c>
      <c r="G70" s="1">
        <v>4.85826002</v>
      </c>
      <c r="H70" s="1">
        <v>5.527748232</v>
      </c>
      <c r="I70" s="1">
        <v>7.389509306</v>
      </c>
      <c r="J70" s="1">
        <v>7.726085506</v>
      </c>
      <c r="K70" s="1">
        <v>8.083470279</v>
      </c>
      <c r="L70" s="1">
        <v>8.490610204</v>
      </c>
      <c r="M70" s="1">
        <v>8.903799869</v>
      </c>
      <c r="N70" s="1">
        <v>9.787351854</v>
      </c>
      <c r="O70" s="1">
        <v>10.82963098</v>
      </c>
      <c r="P70" s="1">
        <v>12.13706383</v>
      </c>
      <c r="Q70" s="1">
        <v>13.58003853</v>
      </c>
      <c r="R70" s="1">
        <v>15.18078484</v>
      </c>
      <c r="S70" s="1">
        <v>16.96667474</v>
      </c>
      <c r="T70" s="1">
        <v>19.36960187</v>
      </c>
      <c r="U70" s="1">
        <v>22.05693685</v>
      </c>
      <c r="W70" s="2" t="str">
        <f>IF('расчет'!R37&lt;50000,50000,'расчет'!R37)</f>
        <v>74137.3012</v>
      </c>
      <c r="X70" s="2" t="str">
        <f t="shared" si="28"/>
        <v>50000</v>
      </c>
      <c r="Y70" s="2" t="str">
        <f t="shared" si="29"/>
        <v>75000</v>
      </c>
      <c r="Z70" s="2" t="str">
        <f t="shared" si="30"/>
        <v>0.03450795217</v>
      </c>
      <c r="AA70" s="2" t="str">
        <f t="shared" si="31"/>
        <v>0.9654920478</v>
      </c>
      <c r="AB70" s="2" t="str">
        <f>'расчет'!P37</f>
        <v>18.5217332</v>
      </c>
      <c r="AC70" s="2" t="str">
        <f t="shared" ref="AC70:AD70" si="53">AC69</f>
        <v>2</v>
      </c>
      <c r="AD70" s="2" t="str">
        <f t="shared" si="53"/>
        <v>25</v>
      </c>
      <c r="AE70" s="2" t="str">
        <f t="shared" si="33"/>
        <v>18.5</v>
      </c>
      <c r="AF70" s="2" t="str">
        <f t="shared" si="34"/>
        <v>19</v>
      </c>
      <c r="AG70" s="2" t="str">
        <f t="shared" si="35"/>
        <v>0.9565335919</v>
      </c>
      <c r="AH70" s="2" t="str">
        <f t="shared" si="36"/>
        <v>0.0434664081</v>
      </c>
      <c r="AI70" s="2" t="str">
        <f>VLOOKUP(AE70,B56:U102,(X70/25000),FALSE)</f>
        <v>5.74595791</v>
      </c>
      <c r="AJ70" s="2" t="str">
        <f>VLOOKUP(AF70,B56:U102,(X70/25000),FALSE)</f>
        <v>5.754177414</v>
      </c>
      <c r="AK70" s="2" t="str">
        <f>VLOOKUP(AE70,B56:U102,(Y70/25000),FALSE)</f>
        <v>5.980900433</v>
      </c>
      <c r="AL70" s="2" t="str">
        <f>VLOOKUP(AF70,B56:U102,(Y70/25000),FALSE)</f>
        <v>6.014939165</v>
      </c>
      <c r="AM70" s="2" t="str">
        <f t="shared" si="37"/>
        <v>5.746315182</v>
      </c>
      <c r="AN70" s="2" t="str">
        <f t="shared" si="38"/>
        <v>5.982379974</v>
      </c>
      <c r="AO70" s="2" t="str">
        <f t="shared" si="39"/>
        <v>5.974233862</v>
      </c>
    </row>
    <row r="71" ht="12.75" customHeight="1">
      <c r="B71" s="1">
        <v>9.5</v>
      </c>
      <c r="C71" s="1">
        <v>4.039262683</v>
      </c>
      <c r="D71" s="1">
        <v>4.26515453</v>
      </c>
      <c r="E71" s="1">
        <v>4.608766899</v>
      </c>
      <c r="F71" s="1">
        <v>5.10910459</v>
      </c>
      <c r="G71" s="1">
        <v>5.220336951</v>
      </c>
      <c r="H71" s="1">
        <v>5.656972136</v>
      </c>
      <c r="I71" s="1">
        <v>8.020531719</v>
      </c>
      <c r="J71" s="1">
        <v>8.152812798</v>
      </c>
      <c r="K71" s="1">
        <v>8.294447289</v>
      </c>
      <c r="L71" s="1">
        <v>8.835220132</v>
      </c>
      <c r="M71" s="1">
        <v>9.386538323</v>
      </c>
      <c r="N71" s="1">
        <v>10.10543024</v>
      </c>
      <c r="O71" s="1">
        <v>10.94573036</v>
      </c>
      <c r="P71" s="1">
        <v>12.32189348</v>
      </c>
      <c r="Q71" s="1">
        <v>13.84618067</v>
      </c>
      <c r="R71" s="1">
        <v>15.54386734</v>
      </c>
      <c r="S71" s="1">
        <v>17.44632621</v>
      </c>
      <c r="T71" s="1">
        <v>20.01474642</v>
      </c>
      <c r="U71" s="1">
        <v>22.89877121</v>
      </c>
      <c r="W71" s="2" t="str">
        <f>IF('расчет'!R38&lt;50000,50000,'расчет'!R38)</f>
        <v>61560.12526</v>
      </c>
      <c r="X71" s="2" t="str">
        <f t="shared" si="28"/>
        <v>50000</v>
      </c>
      <c r="Y71" s="2" t="str">
        <f t="shared" si="29"/>
        <v>75000</v>
      </c>
      <c r="Z71" s="2" t="str">
        <f t="shared" si="30"/>
        <v>0.5375949897</v>
      </c>
      <c r="AA71" s="2" t="str">
        <f t="shared" si="31"/>
        <v>0.4624050103</v>
      </c>
      <c r="AB71" s="2" t="str">
        <f>'расчет'!P38</f>
        <v>22.68814529</v>
      </c>
      <c r="AC71" s="2" t="str">
        <f t="shared" ref="AC71:AD71" si="54">AC70</f>
        <v>2</v>
      </c>
      <c r="AD71" s="2" t="str">
        <f t="shared" si="54"/>
        <v>25</v>
      </c>
      <c r="AE71" s="2" t="str">
        <f t="shared" si="33"/>
        <v>22.5</v>
      </c>
      <c r="AF71" s="2" t="str">
        <f t="shared" si="34"/>
        <v>23</v>
      </c>
      <c r="AG71" s="2" t="str">
        <f t="shared" si="35"/>
        <v>0.6237094224</v>
      </c>
      <c r="AH71" s="2" t="str">
        <f t="shared" si="36"/>
        <v>0.3762905776</v>
      </c>
      <c r="AI71" s="2" t="str">
        <f>VLOOKUP(AE71,B56:U102,(X71/25000),FALSE)</f>
        <v>5.852384984</v>
      </c>
      <c r="AJ71" s="2" t="str">
        <f>VLOOKUP(AF71,B56:U102,(X71/25000),FALSE)</f>
        <v>5.921299409</v>
      </c>
      <c r="AK71" s="2" t="str">
        <f>VLOOKUP(AE71,B56:U102,(Y71/25000),FALSE)</f>
        <v>8.2290745</v>
      </c>
      <c r="AL71" s="2" t="str">
        <f>VLOOKUP(AF71,B56:U102,(Y71/25000),FALSE)</f>
        <v>8.051959336</v>
      </c>
      <c r="AM71" s="2" t="str">
        <f t="shared" si="37"/>
        <v>5.878316833</v>
      </c>
      <c r="AN71" s="2" t="str">
        <f t="shared" si="38"/>
        <v>8.162427733</v>
      </c>
      <c r="AO71" s="2" t="str">
        <f t="shared" si="39"/>
        <v>6.934501157</v>
      </c>
    </row>
    <row r="72" ht="12.75" customHeight="1">
      <c r="B72" s="1">
        <v>10.0</v>
      </c>
      <c r="C72" s="1">
        <v>4.436195395</v>
      </c>
      <c r="D72" s="1">
        <v>4.48863998</v>
      </c>
      <c r="E72" s="1">
        <v>5.079922027</v>
      </c>
      <c r="F72" s="1">
        <v>5.431417797</v>
      </c>
      <c r="G72" s="1">
        <v>5.783470885</v>
      </c>
      <c r="H72" s="1">
        <v>6.413232039</v>
      </c>
      <c r="I72" s="1">
        <v>7.380207265</v>
      </c>
      <c r="J72" s="1">
        <v>7.917894611</v>
      </c>
      <c r="K72" s="1">
        <v>8.497325538</v>
      </c>
      <c r="L72" s="1">
        <v>9.190564971</v>
      </c>
      <c r="M72" s="1">
        <v>9.898391194</v>
      </c>
      <c r="N72" s="1">
        <v>10.43400076</v>
      </c>
      <c r="O72" s="1">
        <v>11.05637155</v>
      </c>
      <c r="P72" s="1">
        <v>12.49862108</v>
      </c>
      <c r="Q72" s="1">
        <v>14.10159644</v>
      </c>
      <c r="R72" s="1">
        <v>15.89375021</v>
      </c>
      <c r="S72" s="1">
        <v>17.9106719</v>
      </c>
      <c r="T72" s="1">
        <v>20.87231219</v>
      </c>
      <c r="U72" s="1">
        <v>24.29383886</v>
      </c>
    </row>
    <row r="73" ht="12.75" customHeight="1">
      <c r="B73" s="1">
        <v>10.5</v>
      </c>
      <c r="C73" s="1">
        <v>4.649580291</v>
      </c>
      <c r="D73" s="1">
        <v>4.72011099</v>
      </c>
      <c r="E73" s="1">
        <v>5.35024411</v>
      </c>
      <c r="F73" s="1">
        <v>5.429490379</v>
      </c>
      <c r="G73" s="1">
        <v>6.26759424</v>
      </c>
      <c r="H73" s="1">
        <v>6.599322667</v>
      </c>
      <c r="I73" s="1">
        <v>7.567855866</v>
      </c>
      <c r="J73" s="1">
        <v>8.108418147</v>
      </c>
      <c r="K73" s="1">
        <v>8.692562574</v>
      </c>
      <c r="L73" s="1">
        <v>9.506576919</v>
      </c>
      <c r="M73" s="1">
        <v>10.33795014</v>
      </c>
      <c r="N73" s="1">
        <v>10.71999422</v>
      </c>
      <c r="O73" s="1">
        <v>11.16193062</v>
      </c>
      <c r="P73" s="1">
        <v>12.66776793</v>
      </c>
      <c r="Q73" s="1">
        <v>14.34692147</v>
      </c>
      <c r="R73" s="1">
        <v>16.23114041</v>
      </c>
      <c r="S73" s="1">
        <v>18.36043292</v>
      </c>
      <c r="T73" s="1">
        <v>20.68042488</v>
      </c>
      <c r="U73" s="1">
        <v>23.26975696</v>
      </c>
    </row>
    <row r="74" ht="12.75" customHeight="1">
      <c r="B74" s="1">
        <v>11.0</v>
      </c>
      <c r="C74" s="1">
        <v>4.836438923</v>
      </c>
      <c r="D74" s="1">
        <v>4.785108442</v>
      </c>
      <c r="E74" s="1">
        <v>5.404037714</v>
      </c>
      <c r="F74" s="1">
        <v>5.716893996</v>
      </c>
      <c r="G74" s="1">
        <v>5.926827948</v>
      </c>
      <c r="H74" s="1">
        <v>7.146372168</v>
      </c>
      <c r="I74" s="1">
        <v>7.948105225</v>
      </c>
      <c r="J74" s="1">
        <v>8.396080124</v>
      </c>
      <c r="K74" s="1">
        <v>8.880582115</v>
      </c>
      <c r="L74" s="1">
        <v>9.776273249</v>
      </c>
      <c r="M74" s="1">
        <v>10.70035704</v>
      </c>
      <c r="N74" s="1">
        <v>10.96309507</v>
      </c>
      <c r="O74" s="1">
        <v>11.26274986</v>
      </c>
      <c r="P74" s="1">
        <v>12.82981157</v>
      </c>
      <c r="Q74" s="1">
        <v>14.58274217</v>
      </c>
      <c r="R74" s="1">
        <v>16.55669527</v>
      </c>
      <c r="S74" s="1">
        <v>18.79628578</v>
      </c>
      <c r="T74" s="1">
        <v>20.50025072</v>
      </c>
      <c r="U74" s="1">
        <v>22.3415158</v>
      </c>
    </row>
    <row r="75" ht="12.75" customHeight="1">
      <c r="B75" s="1">
        <v>11.5</v>
      </c>
      <c r="C75" s="1">
        <v>5.035963986</v>
      </c>
      <c r="D75" s="1">
        <v>4.872510602</v>
      </c>
      <c r="E75" s="1">
        <v>5.658266181</v>
      </c>
      <c r="F75" s="1">
        <v>5.995760521</v>
      </c>
      <c r="G75" s="1">
        <v>6.157182145</v>
      </c>
      <c r="H75" s="1">
        <v>7.680368892</v>
      </c>
      <c r="I75" s="1">
        <v>8.319309444</v>
      </c>
      <c r="J75" s="1">
        <v>8.676091011</v>
      </c>
      <c r="K75" s="1">
        <v>9.061777121</v>
      </c>
      <c r="L75" s="1">
        <v>10.0619502</v>
      </c>
      <c r="M75" s="1">
        <v>11.0994374</v>
      </c>
      <c r="N75" s="1">
        <v>11.22136764</v>
      </c>
      <c r="O75" s="1">
        <v>11.35914151</v>
      </c>
      <c r="P75" s="1">
        <v>12.98519022</v>
      </c>
      <c r="Q75" s="1">
        <v>14.80960037</v>
      </c>
      <c r="R75" s="1">
        <v>16.87102683</v>
      </c>
      <c r="S75" s="1">
        <v>19.21886579</v>
      </c>
      <c r="T75" s="1">
        <v>20.33074897</v>
      </c>
      <c r="U75" s="1">
        <v>21.49626264</v>
      </c>
    </row>
    <row r="76" ht="12.75" customHeight="1">
      <c r="B76" s="1">
        <v>12.0</v>
      </c>
      <c r="C76" s="1">
        <v>5.18119255</v>
      </c>
      <c r="D76" s="1">
        <v>4.943005699</v>
      </c>
      <c r="E76" s="1">
        <v>5.855221634</v>
      </c>
      <c r="F76" s="1">
        <v>6.169058539</v>
      </c>
      <c r="G76" s="1">
        <v>6.527181688</v>
      </c>
      <c r="H76" s="1">
        <v>8.091161757</v>
      </c>
      <c r="I76" s="1">
        <v>8.622745335</v>
      </c>
      <c r="J76" s="1">
        <v>8.918209147</v>
      </c>
      <c r="K76" s="1">
        <v>9.236512534</v>
      </c>
      <c r="L76" s="1">
        <v>9.728360308</v>
      </c>
      <c r="M76" s="1">
        <v>10.25826444</v>
      </c>
      <c r="N76" s="1">
        <v>10.83081957</v>
      </c>
      <c r="O76" s="1">
        <v>11.45139096</v>
      </c>
      <c r="P76" s="1">
        <v>13.13430682</v>
      </c>
      <c r="Q76" s="1">
        <v>15.02799748</v>
      </c>
      <c r="R76" s="1">
        <v>17.17470561</v>
      </c>
      <c r="S76" s="1">
        <v>19.62877014</v>
      </c>
      <c r="T76" s="1">
        <v>20.17099868</v>
      </c>
      <c r="U76" s="1">
        <v>20.72334456</v>
      </c>
    </row>
    <row r="77" ht="12.75" customHeight="1">
      <c r="B77" s="1">
        <v>12.5</v>
      </c>
      <c r="C77" s="1">
        <v>5.250384121</v>
      </c>
      <c r="D77" s="1">
        <v>4.873873444</v>
      </c>
      <c r="E77" s="1">
        <v>5.820625611</v>
      </c>
      <c r="F77" s="1">
        <v>6.019302153</v>
      </c>
      <c r="G77" s="1">
        <v>6.733489416</v>
      </c>
      <c r="H77" s="1">
        <v>7.343808058</v>
      </c>
      <c r="I77" s="1">
        <v>8.285946494</v>
      </c>
      <c r="J77" s="1">
        <v>8.820427731</v>
      </c>
      <c r="K77" s="1">
        <v>9.405127731</v>
      </c>
      <c r="L77" s="1">
        <v>9.880480973</v>
      </c>
      <c r="M77" s="1">
        <v>10.39176589</v>
      </c>
      <c r="N77" s="1">
        <v>10.94321657</v>
      </c>
      <c r="O77" s="1">
        <v>11.5397596</v>
      </c>
      <c r="P77" s="1">
        <v>13.27753243</v>
      </c>
      <c r="Q77" s="1">
        <v>15.23839818</v>
      </c>
      <c r="R77" s="1">
        <v>17.46826414</v>
      </c>
      <c r="S77" s="1">
        <v>20.02656074</v>
      </c>
      <c r="T77" s="1">
        <v>20.02018186</v>
      </c>
      <c r="U77" s="1">
        <v>20.01385712</v>
      </c>
    </row>
    <row r="78" ht="12.75" customHeight="1">
      <c r="B78" s="1">
        <v>13.0</v>
      </c>
      <c r="C78" s="1">
        <v>5.316510034</v>
      </c>
      <c r="D78" s="1">
        <v>4.84981685</v>
      </c>
      <c r="E78" s="1">
        <v>5.955966451</v>
      </c>
      <c r="F78" s="1">
        <v>6.171354016</v>
      </c>
      <c r="G78" s="1">
        <v>6.391813152</v>
      </c>
      <c r="H78" s="1">
        <v>7.703633591</v>
      </c>
      <c r="I78" s="1">
        <v>8.559407856</v>
      </c>
      <c r="J78" s="1">
        <v>9.042131615</v>
      </c>
      <c r="K78" s="1">
        <v>9.567938723</v>
      </c>
      <c r="L78" s="1">
        <v>10.02713496</v>
      </c>
      <c r="M78" s="1">
        <v>10.52025274</v>
      </c>
      <c r="N78" s="1">
        <v>11.051195</v>
      </c>
      <c r="O78" s="1">
        <v>11.62448727</v>
      </c>
      <c r="P78" s="1">
        <v>13.4152094</v>
      </c>
      <c r="Q78" s="1">
        <v>15.44123376</v>
      </c>
      <c r="R78" s="1">
        <v>17.75220003</v>
      </c>
      <c r="S78" s="1">
        <v>20.41276675</v>
      </c>
      <c r="T78" s="1">
        <v>19.87756953</v>
      </c>
      <c r="U78" s="1">
        <v>19.36029982</v>
      </c>
    </row>
    <row r="79" ht="12.75" customHeight="1">
      <c r="B79" s="1">
        <v>13.5</v>
      </c>
      <c r="C79" s="1">
        <v>5.379769618</v>
      </c>
      <c r="D79" s="1">
        <v>4.86244513</v>
      </c>
      <c r="E79" s="1">
        <v>6.072400277</v>
      </c>
      <c r="F79" s="1">
        <v>6.339147196</v>
      </c>
      <c r="G79" s="1">
        <v>6.585682671</v>
      </c>
      <c r="H79" s="1">
        <v>8.084695316</v>
      </c>
      <c r="I79" s="1">
        <v>8.841849741</v>
      </c>
      <c r="J79" s="1">
        <v>9.265871275</v>
      </c>
      <c r="K79" s="1">
        <v>9.725240136</v>
      </c>
      <c r="L79" s="1">
        <v>10.16861174</v>
      </c>
      <c r="M79" s="1">
        <v>10.64400235</v>
      </c>
      <c r="N79" s="1">
        <v>11.15501039</v>
      </c>
      <c r="O79" s="1">
        <v>11.70579446</v>
      </c>
      <c r="P79" s="1">
        <v>13.30263488</v>
      </c>
      <c r="Q79" s="1">
        <v>15.085555</v>
      </c>
      <c r="R79" s="1">
        <v>17.08909299</v>
      </c>
      <c r="S79" s="1">
        <v>19.35689816</v>
      </c>
      <c r="T79" s="1">
        <v>19.05328112</v>
      </c>
      <c r="U79" s="1">
        <v>18.75630983</v>
      </c>
    </row>
    <row r="80" ht="12.75" customHeight="1">
      <c r="B80" s="1">
        <v>14.0</v>
      </c>
      <c r="C80" s="1">
        <v>5.440345288</v>
      </c>
      <c r="D80" s="1">
        <v>4.801222012</v>
      </c>
      <c r="E80" s="1">
        <v>6.067444989</v>
      </c>
      <c r="F80" s="1">
        <v>6.442774879</v>
      </c>
      <c r="G80" s="1">
        <v>6.920810141</v>
      </c>
      <c r="H80" s="1">
        <v>7.986160854</v>
      </c>
      <c r="I80" s="1">
        <v>8.860355218</v>
      </c>
      <c r="J80" s="1">
        <v>9.34888659</v>
      </c>
      <c r="K80" s="1">
        <v>9.877306984</v>
      </c>
      <c r="L80" s="1">
        <v>10.30518071</v>
      </c>
      <c r="M80" s="1">
        <v>10.76327195</v>
      </c>
      <c r="N80" s="1">
        <v>11.25489894</v>
      </c>
      <c r="O80" s="1">
        <v>11.7838842</v>
      </c>
      <c r="P80" s="1">
        <v>14.26784423</v>
      </c>
      <c r="Q80" s="1">
        <v>17.1789065</v>
      </c>
      <c r="R80" s="1">
        <v>17.77517904</v>
      </c>
      <c r="S80" s="1">
        <v>18.40032223</v>
      </c>
      <c r="T80" s="1">
        <v>19.0564849</v>
      </c>
      <c r="U80" s="1">
        <v>19.74603457</v>
      </c>
    </row>
    <row r="81" ht="12.75" customHeight="1">
      <c r="B81" s="1">
        <v>14.5</v>
      </c>
      <c r="C81" s="1">
        <v>5.498404301</v>
      </c>
      <c r="D81" s="1">
        <v>4.696092619</v>
      </c>
      <c r="E81" s="1">
        <v>6.068276511</v>
      </c>
      <c r="F81" s="1">
        <v>6.26902285</v>
      </c>
      <c r="G81" s="1">
        <v>6.525345622</v>
      </c>
      <c r="H81" s="1">
        <v>7.890298476</v>
      </c>
      <c r="I81" s="1">
        <v>8.878310757</v>
      </c>
      <c r="J81" s="1">
        <v>9.429314605</v>
      </c>
      <c r="K81" s="1">
        <v>10.02439628</v>
      </c>
      <c r="L81" s="1">
        <v>10.4370929</v>
      </c>
      <c r="M81" s="1">
        <v>10.8783005</v>
      </c>
      <c r="N81" s="1">
        <v>11.35107932</v>
      </c>
      <c r="O81" s="1">
        <v>11.85894375</v>
      </c>
      <c r="P81" s="1">
        <v>13.75841379</v>
      </c>
      <c r="Q81" s="1">
        <v>15.88556271</v>
      </c>
      <c r="R81" s="1">
        <v>16.70677694</v>
      </c>
      <c r="S81" s="1">
        <v>17.58645884</v>
      </c>
      <c r="T81" s="1">
        <v>17.93442488</v>
      </c>
      <c r="U81" s="1">
        <v>18.29190992</v>
      </c>
    </row>
    <row r="82" ht="12.75" customHeight="1">
      <c r="B82" s="1">
        <v>15.0</v>
      </c>
      <c r="C82" s="1">
        <v>5.5541003</v>
      </c>
      <c r="D82" s="1">
        <v>5.846962743</v>
      </c>
      <c r="E82" s="1">
        <v>6.151816343</v>
      </c>
      <c r="F82" s="1">
        <v>6.384450594</v>
      </c>
      <c r="G82" s="1">
        <v>6.645126058</v>
      </c>
      <c r="H82" s="1">
        <v>7.797000943</v>
      </c>
      <c r="I82" s="1">
        <v>8.895740515</v>
      </c>
      <c r="J82" s="1">
        <v>9.507274327</v>
      </c>
      <c r="K82" s="1">
        <v>10.16674848</v>
      </c>
      <c r="L82" s="1">
        <v>10.56458249</v>
      </c>
      <c r="M82" s="1">
        <v>10.98931026</v>
      </c>
      <c r="N82" s="1">
        <v>11.44375424</v>
      </c>
      <c r="O82" s="1">
        <v>11.93114614</v>
      </c>
      <c r="P82" s="1">
        <v>14.20683546</v>
      </c>
      <c r="Q82" s="1">
        <v>16.88177917</v>
      </c>
      <c r="R82" s="1">
        <v>17.34965619</v>
      </c>
      <c r="S82" s="1">
        <v>17.83538561</v>
      </c>
      <c r="T82" s="1">
        <v>17.8143337</v>
      </c>
      <c r="U82" s="1">
        <v>17.79332093</v>
      </c>
    </row>
    <row r="83" ht="12.75" customHeight="1">
      <c r="B83" s="1">
        <v>15.5</v>
      </c>
      <c r="C83" s="1">
        <v>5.59497749</v>
      </c>
      <c r="D83" s="1">
        <v>5.898555593</v>
      </c>
      <c r="E83" s="1">
        <v>6.212373511</v>
      </c>
      <c r="F83" s="1">
        <v>6.492449628</v>
      </c>
      <c r="G83" s="1">
        <v>6.923318245</v>
      </c>
      <c r="H83" s="1">
        <v>7.706166678</v>
      </c>
      <c r="I83" s="1">
        <v>8.912667252</v>
      </c>
      <c r="J83" s="1">
        <v>9.58287771</v>
      </c>
      <c r="K83" s="1">
        <v>10.3045888</v>
      </c>
      <c r="L83" s="1">
        <v>10.68786823</v>
      </c>
      <c r="M83" s="1">
        <v>11.09650822</v>
      </c>
      <c r="N83" s="1">
        <v>11.53311193</v>
      </c>
      <c r="O83" s="1">
        <v>12.00065147</v>
      </c>
      <c r="P83" s="1">
        <v>13.9590527</v>
      </c>
      <c r="Q83" s="1">
        <v>16.21574957</v>
      </c>
      <c r="R83" s="1">
        <v>16.66131498</v>
      </c>
      <c r="S83" s="1">
        <v>17.12360776</v>
      </c>
      <c r="T83" s="1">
        <v>17.11099868</v>
      </c>
      <c r="U83" s="1">
        <v>17.09840529</v>
      </c>
    </row>
    <row r="84" ht="12.75" customHeight="1">
      <c r="B84" s="1">
        <v>16.0</v>
      </c>
      <c r="C84" s="1">
        <v>5.562556969</v>
      </c>
      <c r="D84" s="1">
        <v>5.835399504</v>
      </c>
      <c r="E84" s="1">
        <v>6.113241051</v>
      </c>
      <c r="F84" s="1">
        <v>6.33774863</v>
      </c>
      <c r="G84" s="1">
        <v>6.985155196</v>
      </c>
      <c r="H84" s="1">
        <v>7.617699398</v>
      </c>
      <c r="I84" s="1">
        <v>8.929112433</v>
      </c>
      <c r="J84" s="1">
        <v>9.656229988</v>
      </c>
      <c r="K84" s="1">
        <v>10.43812841</v>
      </c>
      <c r="L84" s="1">
        <v>10.65026134</v>
      </c>
      <c r="M84" s="1">
        <v>10.87344503</v>
      </c>
      <c r="N84" s="1">
        <v>11.10856605</v>
      </c>
      <c r="O84" s="1">
        <v>11.35660848</v>
      </c>
      <c r="P84" s="1">
        <v>13.41417471</v>
      </c>
      <c r="Q84" s="1">
        <v>15.82511506</v>
      </c>
      <c r="R84" s="1">
        <v>15.9949233</v>
      </c>
      <c r="S84" s="1">
        <v>16.16718542</v>
      </c>
      <c r="T84" s="1">
        <v>16.11031015</v>
      </c>
      <c r="U84" s="1">
        <v>16.0536992</v>
      </c>
    </row>
    <row r="85" ht="12.75" customHeight="1">
      <c r="B85" s="1">
        <v>16.5</v>
      </c>
      <c r="C85" s="1">
        <v>5.655255739</v>
      </c>
      <c r="D85" s="1">
        <v>5.866279917</v>
      </c>
      <c r="E85" s="1">
        <v>6.123177972</v>
      </c>
      <c r="F85" s="1">
        <v>6.398874248</v>
      </c>
      <c r="G85" s="1">
        <v>6.892367218</v>
      </c>
      <c r="H85" s="1">
        <v>7.531507773</v>
      </c>
      <c r="I85" s="1">
        <v>9.099197675</v>
      </c>
      <c r="J85" s="1">
        <v>9.988690826</v>
      </c>
      <c r="K85" s="1">
        <v>10.96186877</v>
      </c>
      <c r="L85" s="1">
        <v>10.69187599</v>
      </c>
      <c r="M85" s="1">
        <v>10.4231372</v>
      </c>
      <c r="N85" s="1">
        <v>10.15564368</v>
      </c>
      <c r="O85" s="1">
        <v>9.889386806</v>
      </c>
      <c r="P85" s="1">
        <v>12.28282066</v>
      </c>
      <c r="Q85" s="1">
        <v>15.26156018</v>
      </c>
      <c r="R85" s="1">
        <v>15.13286762</v>
      </c>
      <c r="S85" s="1">
        <v>15.00558581</v>
      </c>
      <c r="T85" s="1">
        <v>14.79540659</v>
      </c>
      <c r="U85" s="1">
        <v>14.58907396</v>
      </c>
    </row>
    <row r="86" ht="12.75" customHeight="1">
      <c r="B86" s="1">
        <v>17.0</v>
      </c>
      <c r="C86" s="1">
        <v>5.690820497</v>
      </c>
      <c r="D86" s="1">
        <v>5.896767741</v>
      </c>
      <c r="E86" s="1">
        <v>5.341971286</v>
      </c>
      <c r="F86" s="1">
        <v>4.835979979</v>
      </c>
      <c r="G86" s="1">
        <v>7.151610903</v>
      </c>
      <c r="H86" s="1">
        <v>7.447505114</v>
      </c>
      <c r="I86" s="1">
        <v>9.466517405</v>
      </c>
      <c r="J86" s="1">
        <v>10.66192419</v>
      </c>
      <c r="K86" s="1">
        <v>12.01368465</v>
      </c>
      <c r="L86" s="1">
        <v>12.70950502</v>
      </c>
      <c r="M86" s="1">
        <v>13.45638449</v>
      </c>
      <c r="N86" s="1">
        <v>10.74036976</v>
      </c>
      <c r="O86" s="1">
        <v>8.569515963</v>
      </c>
      <c r="P86" s="1">
        <v>10.92541197</v>
      </c>
      <c r="Q86" s="1">
        <v>13.94133158</v>
      </c>
      <c r="R86" s="1">
        <v>13.70838903</v>
      </c>
      <c r="S86" s="1">
        <v>13.48042062</v>
      </c>
      <c r="T86" s="1">
        <v>13.27880898</v>
      </c>
      <c r="U86" s="1">
        <v>13.08101266</v>
      </c>
    </row>
    <row r="87" ht="12.75" customHeight="1">
      <c r="B87" s="1">
        <v>17.5</v>
      </c>
      <c r="C87" s="1">
        <v>5.704088758</v>
      </c>
      <c r="D87" s="1">
        <v>5.926870415</v>
      </c>
      <c r="E87" s="1">
        <v>5.515614554</v>
      </c>
      <c r="F87" s="1">
        <v>5.125437356</v>
      </c>
      <c r="G87" s="1">
        <v>7.3972562</v>
      </c>
      <c r="H87" s="1">
        <v>7.365609078</v>
      </c>
      <c r="I87" s="1">
        <v>9.155185896</v>
      </c>
      <c r="J87" s="1">
        <v>10.19075144</v>
      </c>
      <c r="K87" s="1">
        <v>11.3409456</v>
      </c>
      <c r="L87" s="1">
        <v>12.36643763</v>
      </c>
      <c r="M87" s="1">
        <v>13.51143571</v>
      </c>
      <c r="N87" s="1">
        <v>10.34262485</v>
      </c>
      <c r="O87" s="1">
        <v>7.936067727</v>
      </c>
      <c r="P87" s="1">
        <v>9.981310943</v>
      </c>
      <c r="Q87" s="1">
        <v>12.54964257</v>
      </c>
      <c r="R87" s="1">
        <v>12.3200749</v>
      </c>
      <c r="S87" s="1">
        <v>12.09567606</v>
      </c>
      <c r="T87" s="1">
        <v>11.91544129</v>
      </c>
      <c r="U87" s="1">
        <v>11.73849311</v>
      </c>
    </row>
    <row r="88" ht="12.75" customHeight="1">
      <c r="B88" s="1">
        <v>18.0</v>
      </c>
      <c r="C88" s="1">
        <v>5.763896937</v>
      </c>
      <c r="D88" s="1">
        <v>5.956595192</v>
      </c>
      <c r="E88" s="1">
        <v>5.698313582</v>
      </c>
      <c r="F88" s="1">
        <v>5.444261226</v>
      </c>
      <c r="G88" s="1">
        <v>7.681895854</v>
      </c>
      <c r="H88" s="1">
        <v>7.285741401</v>
      </c>
      <c r="I88" s="1">
        <v>9.237111084</v>
      </c>
      <c r="J88" s="1">
        <v>10.38410902</v>
      </c>
      <c r="K88" s="1">
        <v>11.67371531</v>
      </c>
      <c r="L88" s="1">
        <v>11.97586283</v>
      </c>
      <c r="M88" s="1">
        <v>12.28794543</v>
      </c>
      <c r="N88" s="1">
        <v>10.65471249</v>
      </c>
      <c r="O88" s="1">
        <v>9.249736185</v>
      </c>
      <c r="P88" s="1">
        <v>10.23409745</v>
      </c>
      <c r="Q88" s="1">
        <v>11.32135547</v>
      </c>
      <c r="R88" s="1">
        <v>11.13400321</v>
      </c>
      <c r="S88" s="1">
        <v>10.95033722</v>
      </c>
      <c r="T88" s="1">
        <v>10.80280872</v>
      </c>
      <c r="U88" s="1">
        <v>10.65763493</v>
      </c>
    </row>
    <row r="89" ht="12.75" customHeight="1">
      <c r="B89" s="1">
        <v>18.5</v>
      </c>
      <c r="C89" s="1">
        <v>5.74595791</v>
      </c>
      <c r="D89" s="1">
        <v>5.980900433</v>
      </c>
      <c r="E89" s="1">
        <v>5.818597165</v>
      </c>
      <c r="F89" s="1">
        <v>5.654150333</v>
      </c>
      <c r="G89" s="1">
        <v>7.899022801</v>
      </c>
      <c r="H89" s="1">
        <v>7.207827648</v>
      </c>
      <c r="I89" s="1">
        <v>9.001869317</v>
      </c>
      <c r="J89" s="1">
        <v>10.04107518</v>
      </c>
      <c r="K89" s="1">
        <v>11.19622187</v>
      </c>
      <c r="L89" s="1">
        <v>11.2060527</v>
      </c>
      <c r="M89" s="1">
        <v>11.21589761</v>
      </c>
      <c r="N89" s="1">
        <v>10.96721493</v>
      </c>
      <c r="O89" s="1">
        <v>10.72513661</v>
      </c>
      <c r="P89" s="1">
        <v>10.52834878</v>
      </c>
      <c r="Q89" s="1">
        <v>10.33598633</v>
      </c>
      <c r="R89" s="1">
        <v>10.28898655</v>
      </c>
      <c r="S89" s="1">
        <v>10.24224394</v>
      </c>
      <c r="T89" s="1">
        <v>10.24626747</v>
      </c>
      <c r="U89" s="1">
        <v>10.25029227</v>
      </c>
    </row>
    <row r="90" ht="12.75" customHeight="1">
      <c r="B90" s="1">
        <v>19.0</v>
      </c>
      <c r="C90" s="1">
        <v>5.754177414</v>
      </c>
      <c r="D90" s="1">
        <v>6.014939165</v>
      </c>
      <c r="E90" s="1">
        <v>5.944966351</v>
      </c>
      <c r="F90" s="1">
        <v>5.872474521</v>
      </c>
      <c r="G90" s="1">
        <v>8.758877079</v>
      </c>
      <c r="H90" s="1">
        <v>7.131796985</v>
      </c>
      <c r="I90" s="1">
        <v>11.41659163</v>
      </c>
      <c r="J90" s="1">
        <v>11.07665948</v>
      </c>
      <c r="K90" s="1">
        <v>10.74872407</v>
      </c>
      <c r="L90" s="1">
        <v>10.48880327</v>
      </c>
      <c r="M90" s="1">
        <v>10.23629938</v>
      </c>
      <c r="N90" s="1">
        <v>10.12259974</v>
      </c>
      <c r="O90" s="1">
        <v>10.01040908</v>
      </c>
      <c r="P90" s="1">
        <v>10.00910557</v>
      </c>
      <c r="Q90" s="1">
        <v>10.00780275</v>
      </c>
      <c r="R90" s="1">
        <v>10.020559</v>
      </c>
      <c r="S90" s="1">
        <v>10.03332986</v>
      </c>
      <c r="T90" s="1">
        <v>10.06926147</v>
      </c>
      <c r="U90" s="1">
        <v>10.10532643</v>
      </c>
    </row>
    <row r="91" ht="12.75" customHeight="1">
      <c r="B91" s="1">
        <v>19.5</v>
      </c>
      <c r="C91" s="1">
        <v>5.78896346</v>
      </c>
      <c r="D91" s="1">
        <v>6.028070972</v>
      </c>
      <c r="E91" s="1">
        <v>6.062599574</v>
      </c>
      <c r="F91" s="1">
        <v>6.099752704</v>
      </c>
      <c r="G91" s="1">
        <v>9.471041511</v>
      </c>
      <c r="H91" s="1">
        <v>6.832931903</v>
      </c>
      <c r="I91" s="1">
        <v>10.40274841</v>
      </c>
      <c r="J91" s="1">
        <v>10.14030612</v>
      </c>
      <c r="K91" s="1">
        <v>9.885617563</v>
      </c>
      <c r="L91" s="1">
        <v>9.845252711</v>
      </c>
      <c r="M91" s="1">
        <v>9.805102041</v>
      </c>
      <c r="N91" s="1">
        <v>9.802876524</v>
      </c>
      <c r="O91" s="1">
        <v>9.800652595</v>
      </c>
      <c r="P91" s="1">
        <v>9.818344177</v>
      </c>
      <c r="Q91" s="1">
        <v>9.836065574</v>
      </c>
      <c r="R91" s="1">
        <v>9.873599099</v>
      </c>
      <c r="S91" s="1">
        <v>9.911286601</v>
      </c>
      <c r="T91" s="1">
        <v>9.938117859</v>
      </c>
      <c r="U91" s="1">
        <v>9.965027772</v>
      </c>
    </row>
    <row r="92" ht="12.75" customHeight="1">
      <c r="B92" s="1">
        <v>20.0</v>
      </c>
      <c r="C92" s="1">
        <v>5.771826772</v>
      </c>
      <c r="D92" s="1">
        <v>5.981363923</v>
      </c>
      <c r="E92" s="1">
        <v>6.148944097</v>
      </c>
      <c r="F92" s="1">
        <v>6.336547253</v>
      </c>
      <c r="G92" s="1">
        <v>10.24728557</v>
      </c>
      <c r="H92" s="1">
        <v>9.870777371</v>
      </c>
      <c r="I92" s="1">
        <v>9.672650475</v>
      </c>
      <c r="J92" s="1">
        <v>9.636623533</v>
      </c>
      <c r="K92" s="1">
        <v>9.600780429</v>
      </c>
      <c r="L92" s="1">
        <v>9.589674388</v>
      </c>
      <c r="M92" s="1">
        <v>9.578589974</v>
      </c>
      <c r="N92" s="1">
        <v>9.589650091</v>
      </c>
      <c r="O92" s="1">
        <v>9.600719604</v>
      </c>
      <c r="P92" s="1">
        <v>9.647026404</v>
      </c>
      <c r="Q92" s="1">
        <v>9.693575124</v>
      </c>
      <c r="R92" s="1">
        <v>9.725737866</v>
      </c>
      <c r="S92" s="1">
        <v>9.758015729</v>
      </c>
      <c r="T92" s="1">
        <v>9.778938602</v>
      </c>
      <c r="U92" s="1">
        <v>9.79990905</v>
      </c>
    </row>
    <row r="93" ht="12.75" customHeight="1">
      <c r="B93" s="1">
        <v>20.5</v>
      </c>
      <c r="C93" s="1">
        <v>5.63654169</v>
      </c>
      <c r="D93" s="1">
        <v>6.038958675</v>
      </c>
      <c r="E93" s="1">
        <v>6.199910737</v>
      </c>
      <c r="F93" s="1">
        <v>6.383579857</v>
      </c>
      <c r="G93" s="1">
        <v>9.439933068</v>
      </c>
      <c r="H93" s="1">
        <v>9.400039277</v>
      </c>
      <c r="I93" s="1">
        <v>9.371448168</v>
      </c>
      <c r="J93" s="1">
        <v>9.374755094</v>
      </c>
      <c r="K93" s="1">
        <v>9.378060725</v>
      </c>
      <c r="L93" s="1">
        <v>9.370702943</v>
      </c>
      <c r="M93" s="1">
        <v>9.363356315</v>
      </c>
      <c r="N93" s="1">
        <v>9.411620495</v>
      </c>
      <c r="O93" s="1">
        <v>9.46015045</v>
      </c>
      <c r="P93" s="1">
        <v>9.490999532</v>
      </c>
      <c r="Q93" s="1">
        <v>9.521953626</v>
      </c>
      <c r="R93" s="1">
        <v>9.537610783</v>
      </c>
      <c r="S93" s="1">
        <v>9.553293472</v>
      </c>
      <c r="T93" s="1">
        <v>9.552629629</v>
      </c>
      <c r="U93" s="1">
        <v>9.551966015</v>
      </c>
    </row>
    <row r="94" ht="12.75" customHeight="1">
      <c r="B94" s="1">
        <v>21.0</v>
      </c>
      <c r="C94" s="1">
        <v>5.768800721</v>
      </c>
      <c r="D94" s="1">
        <v>6.081106196</v>
      </c>
      <c r="E94" s="1">
        <v>6.502708036</v>
      </c>
      <c r="F94" s="1">
        <v>7.000966438</v>
      </c>
      <c r="G94" s="1">
        <v>9.12453879</v>
      </c>
      <c r="H94" s="1">
        <v>9.14161032</v>
      </c>
      <c r="I94" s="1">
        <v>9.179359054</v>
      </c>
      <c r="J94" s="1">
        <v>9.145219267</v>
      </c>
      <c r="K94" s="1">
        <v>9.111249223</v>
      </c>
      <c r="L94" s="1">
        <v>9.167386091</v>
      </c>
      <c r="M94" s="1">
        <v>9.223884906</v>
      </c>
      <c r="N94" s="1">
        <v>9.260589696</v>
      </c>
      <c r="O94" s="1">
        <v>9.297448782</v>
      </c>
      <c r="P94" s="1">
        <v>9.30611949</v>
      </c>
      <c r="Q94" s="1">
        <v>9.314796905</v>
      </c>
      <c r="R94" s="1">
        <v>9.330913491</v>
      </c>
      <c r="S94" s="1">
        <v>9.347057399</v>
      </c>
      <c r="T94" s="1">
        <v>9.403217184</v>
      </c>
      <c r="U94" s="1">
        <v>9.459749378</v>
      </c>
    </row>
    <row r="95" ht="12.75" customHeight="1">
      <c r="B95" s="1">
        <v>21.5</v>
      </c>
      <c r="C95" s="1">
        <v>5.808071813</v>
      </c>
      <c r="D95" s="1">
        <v>6.191417173</v>
      </c>
      <c r="E95" s="1">
        <v>8.804920095</v>
      </c>
      <c r="F95" s="1">
        <v>7.243644162</v>
      </c>
      <c r="G95" s="1">
        <v>8.861647873</v>
      </c>
      <c r="H95" s="1">
        <v>8.942271531</v>
      </c>
      <c r="I95" s="1">
        <v>8.9241457</v>
      </c>
      <c r="J95" s="1">
        <v>8.947158196</v>
      </c>
      <c r="K95" s="1">
        <v>8.970221574</v>
      </c>
      <c r="L95" s="1">
        <v>9.008981401</v>
      </c>
      <c r="M95" s="1">
        <v>9.047911548</v>
      </c>
      <c r="N95" s="1">
        <v>9.048282704</v>
      </c>
      <c r="O95" s="1">
        <v>9.048653755</v>
      </c>
      <c r="P95" s="1">
        <v>9.086110585</v>
      </c>
      <c r="Q95" s="1">
        <v>9.123730904</v>
      </c>
      <c r="R95" s="1">
        <v>9.179836253</v>
      </c>
      <c r="S95" s="1">
        <v>9.236316745</v>
      </c>
      <c r="T95" s="1">
        <v>9.285799823</v>
      </c>
      <c r="U95" s="1">
        <v>9.335575306</v>
      </c>
    </row>
    <row r="96" ht="12.75" customHeight="1">
      <c r="B96" s="4">
        <v>22.0</v>
      </c>
      <c r="C96" s="1">
        <v>5.829147519</v>
      </c>
      <c r="D96" s="1">
        <v>7.123318159</v>
      </c>
      <c r="E96" s="1">
        <v>8.448392784</v>
      </c>
      <c r="F96" s="1">
        <v>7.812062366</v>
      </c>
      <c r="G96" s="1">
        <v>8.726736687</v>
      </c>
      <c r="H96" s="1">
        <v>8.73755531</v>
      </c>
      <c r="I96" s="1">
        <v>8.763095952</v>
      </c>
      <c r="J96" s="1">
        <v>8.800897131</v>
      </c>
      <c r="K96" s="1">
        <v>8.838847187</v>
      </c>
      <c r="L96" s="1">
        <v>8.835464147</v>
      </c>
      <c r="M96" s="1">
        <v>8.832082986</v>
      </c>
      <c r="N96" s="1">
        <v>8.884141102</v>
      </c>
      <c r="O96" s="1">
        <v>8.936507197</v>
      </c>
      <c r="P96" s="1">
        <v>8.987735078</v>
      </c>
      <c r="Q96" s="1">
        <v>9.039272659</v>
      </c>
      <c r="R96" s="1">
        <v>9.085269861</v>
      </c>
      <c r="S96" s="1">
        <v>9.131520663</v>
      </c>
      <c r="T96" s="1">
        <v>9.159370354</v>
      </c>
      <c r="U96" s="1">
        <v>9.187310893</v>
      </c>
    </row>
    <row r="97" ht="12.75" customHeight="1">
      <c r="B97" s="4">
        <v>22.5</v>
      </c>
      <c r="C97" s="1">
        <v>5.852384984</v>
      </c>
      <c r="D97" s="1">
        <v>8.2290745</v>
      </c>
      <c r="E97" s="1">
        <v>8.275908001</v>
      </c>
      <c r="F97" s="1">
        <v>7.534873188</v>
      </c>
      <c r="G97" s="1">
        <v>8.645790601</v>
      </c>
      <c r="H97" s="1">
        <v>8.68673488</v>
      </c>
      <c r="I97" s="1">
        <v>8.68951981</v>
      </c>
      <c r="J97" s="1">
        <v>8.710488424</v>
      </c>
      <c r="K97" s="1">
        <v>8.73151751</v>
      </c>
      <c r="L97" s="1">
        <v>8.750028622</v>
      </c>
      <c r="M97" s="1">
        <v>8.768554151</v>
      </c>
      <c r="N97" s="1">
        <v>8.805343249</v>
      </c>
      <c r="O97" s="1">
        <v>8.842279564</v>
      </c>
      <c r="P97" s="1">
        <v>8.876163702</v>
      </c>
      <c r="Q97" s="1">
        <v>8.910182406</v>
      </c>
      <c r="R97" s="1">
        <v>8.910875087</v>
      </c>
      <c r="S97" s="1">
        <v>8.911567767</v>
      </c>
      <c r="T97" s="1">
        <v>8.9737885</v>
      </c>
      <c r="U97" s="1">
        <v>9.036475295</v>
      </c>
    </row>
    <row r="98" ht="12.75" customHeight="1">
      <c r="B98" s="4">
        <v>23.0</v>
      </c>
      <c r="C98" s="1">
        <v>5.921299409</v>
      </c>
      <c r="D98" s="1">
        <v>8.051959336</v>
      </c>
      <c r="E98" s="1">
        <v>8.556919744</v>
      </c>
      <c r="F98" s="1">
        <v>7.137580393</v>
      </c>
      <c r="G98" s="1">
        <v>8.751085317</v>
      </c>
      <c r="H98" s="1">
        <v>8.695039331</v>
      </c>
      <c r="I98" s="1">
        <v>8.814461369</v>
      </c>
      <c r="J98" s="1">
        <v>8.750399124</v>
      </c>
      <c r="K98" s="1">
        <v>8.68707483</v>
      </c>
      <c r="L98" s="1">
        <v>8.682326825</v>
      </c>
      <c r="M98" s="1">
        <v>8.677588704</v>
      </c>
      <c r="N98" s="1">
        <v>8.689645801</v>
      </c>
      <c r="O98" s="1">
        <v>8.701722575</v>
      </c>
      <c r="P98" s="1">
        <v>8.733996186</v>
      </c>
      <c r="Q98" s="1">
        <v>8.766369589</v>
      </c>
      <c r="R98" s="1">
        <v>8.814637483</v>
      </c>
      <c r="S98" s="1">
        <v>8.863179074</v>
      </c>
      <c r="T98" s="1">
        <v>8.916823416</v>
      </c>
      <c r="U98" s="1">
        <v>8.970818374</v>
      </c>
    </row>
    <row r="99" ht="12.75" customHeight="1">
      <c r="B99" s="4">
        <v>23.5</v>
      </c>
      <c r="C99" s="4">
        <v>8.027950311</v>
      </c>
      <c r="D99" s="1">
        <v>8.242033184</v>
      </c>
      <c r="E99" s="4">
        <v>9.795507054</v>
      </c>
      <c r="F99" s="1">
        <v>6.617779969</v>
      </c>
      <c r="G99" s="1">
        <v>9.312209468</v>
      </c>
      <c r="H99" s="4">
        <v>8.978507049</v>
      </c>
      <c r="I99" s="1">
        <v>8.796865746</v>
      </c>
      <c r="J99" s="4">
        <v>8.72420477</v>
      </c>
      <c r="K99" s="1">
        <v>8.651543793</v>
      </c>
      <c r="L99" s="4">
        <v>8.651402432</v>
      </c>
      <c r="M99" s="1">
        <v>8.651261071</v>
      </c>
      <c r="N99" s="4">
        <v>8.651616979</v>
      </c>
      <c r="O99" s="1">
        <v>8.651972887</v>
      </c>
      <c r="P99" s="4">
        <v>8.682749772</v>
      </c>
      <c r="Q99" s="4">
        <v>8.713526657</v>
      </c>
      <c r="R99" s="4">
        <v>8.756003045</v>
      </c>
      <c r="S99" s="4">
        <v>8.798479432</v>
      </c>
      <c r="T99" s="4">
        <v>8.818382379</v>
      </c>
      <c r="U99" s="4">
        <v>8.838285325</v>
      </c>
    </row>
    <row r="100" ht="12.75" customHeight="1">
      <c r="B100" s="4">
        <v>24.0</v>
      </c>
      <c r="C100" s="4">
        <v>8.342955357</v>
      </c>
      <c r="D100" s="1">
        <v>11.4770068</v>
      </c>
      <c r="E100" s="4">
        <v>10.30996759</v>
      </c>
      <c r="F100" s="1">
        <v>5.927950499</v>
      </c>
      <c r="G100" s="1">
        <v>9.583453583</v>
      </c>
      <c r="H100" s="4">
        <v>9.154319262</v>
      </c>
      <c r="I100" s="1">
        <v>9.250258046</v>
      </c>
      <c r="J100" s="4">
        <v>9.016862019</v>
      </c>
      <c r="K100" s="1">
        <v>8.783465991</v>
      </c>
      <c r="L100" s="4">
        <v>8.697282361</v>
      </c>
      <c r="M100" s="1">
        <v>8.61109873</v>
      </c>
      <c r="N100" s="4">
        <v>8.599515419</v>
      </c>
      <c r="O100" s="1">
        <v>8.587932107</v>
      </c>
      <c r="P100" s="4">
        <v>8.602277881</v>
      </c>
      <c r="Q100" s="4">
        <v>8.616623654</v>
      </c>
      <c r="R100" s="4">
        <v>8.662039633</v>
      </c>
      <c r="S100" s="4">
        <v>8.707455611</v>
      </c>
      <c r="T100" s="4">
        <v>8.761507034</v>
      </c>
      <c r="U100" s="4">
        <v>8.815558457</v>
      </c>
    </row>
    <row r="101" ht="12.75" customHeight="1">
      <c r="B101" s="4">
        <v>24.5</v>
      </c>
      <c r="C101" s="4">
        <v>11.83857968</v>
      </c>
      <c r="D101" s="1">
        <v>11.60843341</v>
      </c>
      <c r="E101" s="4">
        <v>11.4988608</v>
      </c>
      <c r="F101" s="1">
        <v>5.215055627</v>
      </c>
      <c r="G101" s="1">
        <v>10.35150718</v>
      </c>
      <c r="H101" s="4">
        <v>9.6936511</v>
      </c>
      <c r="I101" s="1">
        <v>9.262494162</v>
      </c>
      <c r="J101" s="4">
        <v>9.002994793</v>
      </c>
      <c r="K101" s="1">
        <v>8.743495424</v>
      </c>
      <c r="L101" s="4">
        <v>8.681472401</v>
      </c>
      <c r="M101" s="1">
        <v>8.619449378</v>
      </c>
      <c r="N101" s="4">
        <v>8.579263856</v>
      </c>
      <c r="O101" s="1">
        <v>8.539078333</v>
      </c>
      <c r="P101" s="4">
        <v>8.547167674</v>
      </c>
      <c r="Q101" s="4">
        <v>8.555257014</v>
      </c>
      <c r="R101" s="4">
        <v>8.592030489</v>
      </c>
      <c r="S101" s="4">
        <v>8.628803963</v>
      </c>
      <c r="T101" s="4">
        <v>8.64048605</v>
      </c>
      <c r="U101" s="4">
        <v>8.652168136</v>
      </c>
    </row>
    <row r="102" ht="12.75" customHeight="1">
      <c r="B102" s="4">
        <v>25.0</v>
      </c>
      <c r="C102" s="4">
        <v>11.49260042</v>
      </c>
      <c r="D102" s="1">
        <v>11.30089059</v>
      </c>
      <c r="E102" s="4">
        <v>11.05440387</v>
      </c>
      <c r="F102" s="1">
        <v>4.534876427</v>
      </c>
      <c r="G102" s="1">
        <v>10.35241404</v>
      </c>
      <c r="H102" s="4">
        <v>9.709092658</v>
      </c>
      <c r="I102" s="1">
        <v>9.240306478</v>
      </c>
      <c r="J102" s="4">
        <v>9.046858936</v>
      </c>
      <c r="K102" s="1">
        <v>8.853411394</v>
      </c>
      <c r="L102" s="4">
        <v>8.712074234</v>
      </c>
      <c r="M102" s="1">
        <v>8.570737074</v>
      </c>
      <c r="N102" s="4">
        <v>8.518552198</v>
      </c>
      <c r="O102" s="1">
        <v>8.466367322</v>
      </c>
      <c r="P102" s="4">
        <v>8.469784968</v>
      </c>
      <c r="Q102" s="4">
        <v>8.473202614</v>
      </c>
      <c r="R102" s="4">
        <v>8.49535906</v>
      </c>
      <c r="S102" s="4">
        <v>8.517515506</v>
      </c>
      <c r="T102" s="4">
        <v>8.551833226</v>
      </c>
      <c r="U102" s="4">
        <v>8.586150945</v>
      </c>
    </row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6">
    <mergeCell ref="AC3:AD3"/>
    <mergeCell ref="AI3:AJ3"/>
    <mergeCell ref="AK3:AL3"/>
    <mergeCell ref="AC54:AD54"/>
    <mergeCell ref="AI54:AJ54"/>
    <mergeCell ref="AK54:AL54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2" width="8.0"/>
    <col customWidth="1" min="13" max="13" width="12.43"/>
    <col customWidth="1" min="14" max="14" width="8.0"/>
    <col customWidth="1" min="15" max="15" width="12.43"/>
    <col customWidth="1" min="16" max="26" width="8.0"/>
  </cols>
  <sheetData>
    <row r="1" ht="12.75" customHeight="1">
      <c r="M1" s="4"/>
      <c r="O1" s="4"/>
    </row>
    <row r="2" ht="12.75" customHeight="1">
      <c r="E2" s="6" t="s">
        <v>0</v>
      </c>
      <c r="K2" s="4" t="s">
        <v>10</v>
      </c>
      <c r="M2" s="4"/>
      <c r="O2" s="4"/>
    </row>
    <row r="3" ht="12.75" customHeight="1">
      <c r="E3" s="4">
        <v>5.0</v>
      </c>
      <c r="F3" s="4">
        <v>10.0</v>
      </c>
      <c r="G3" s="4">
        <v>15.0</v>
      </c>
      <c r="H3" s="4">
        <v>20.0</v>
      </c>
      <c r="I3" s="4">
        <v>25.0</v>
      </c>
      <c r="M3" s="4"/>
      <c r="O3" s="4"/>
      <c r="S3" s="4" t="s">
        <v>0</v>
      </c>
    </row>
    <row r="4" ht="12.75" customHeight="1">
      <c r="E4" s="7" t="str">
        <f>'5%'!AO3</f>
        <v>0.9638548617</v>
      </c>
      <c r="F4" s="7" t="str">
        <f>'10%'!AO4</f>
        <v>1.275352155</v>
      </c>
      <c r="G4" s="7" t="str">
        <f>'15%'!AO3</f>
        <v>1.172354905</v>
      </c>
      <c r="H4" s="7" t="str">
        <f>'20%'!AO3</f>
        <v>1.035410909</v>
      </c>
      <c r="I4" s="7" t="str">
        <f>'25%'!AO4</f>
        <v>0.5231004339</v>
      </c>
      <c r="K4" s="7" t="str">
        <f>'расчет'!Y22*100</f>
        <v>9.324651406</v>
      </c>
      <c r="M4" s="4" t="str">
        <f t="shared" ref="M4:M20" si="2">ROUNDDOWN(K4/5,0)</f>
        <v>1</v>
      </c>
      <c r="N4" s="7" t="str">
        <f t="shared" ref="N4:N20" si="3">M4+1</f>
        <v>2</v>
      </c>
      <c r="O4" s="7" t="str">
        <f t="shared" ref="O4:O20" si="4">(K4-M4*5)/5</f>
        <v>0.8649302811</v>
      </c>
      <c r="P4" s="7" t="str">
        <f t="shared" ref="P4:P20" si="5">1-O4</f>
        <v>0.1350697189</v>
      </c>
      <c r="Q4" s="7" t="str">
        <f t="shared" ref="Q4:R4" si="1">HLOOKUP(M4*5,E3:I20,2,FALSE)</f>
        <v>0.9638548617</v>
      </c>
      <c r="R4" s="7" t="str">
        <f t="shared" si="1"/>
        <v>1.275352155</v>
      </c>
      <c r="S4" s="7" t="str">
        <f t="shared" ref="S4:S20" si="7">(R4*O4+Q4*P4)*T4</f>
        <v>1.109950473</v>
      </c>
      <c r="T4" s="7" t="str">
        <f>'расчет'!K9</f>
        <v>0.9</v>
      </c>
    </row>
    <row r="5" ht="12.75" customHeight="1">
      <c r="E5" s="7" t="str">
        <f>'5%'!AO4</f>
        <v>1.016725207</v>
      </c>
      <c r="F5" s="7" t="str">
        <f>'10%'!AO5</f>
        <v>1.218612032</v>
      </c>
      <c r="G5" s="7" t="str">
        <f>'15%'!AO4</f>
        <v>1.23736035</v>
      </c>
      <c r="H5" s="7" t="str">
        <f>'20%'!AO4</f>
        <v>1.101067937</v>
      </c>
      <c r="I5" s="7" t="str">
        <f>'25%'!AO5</f>
        <v>0.6105534019</v>
      </c>
      <c r="K5" s="7" t="str">
        <f>'расчет'!Y23*100</f>
        <v>9.658531265</v>
      </c>
      <c r="M5" s="4" t="str">
        <f t="shared" si="2"/>
        <v>1</v>
      </c>
      <c r="N5" s="7" t="str">
        <f t="shared" si="3"/>
        <v>2</v>
      </c>
      <c r="O5" s="7" t="str">
        <f t="shared" si="4"/>
        <v>0.931706253</v>
      </c>
      <c r="P5" s="7" t="str">
        <f t="shared" si="5"/>
        <v>0.06829374699</v>
      </c>
      <c r="Q5" s="7" t="str">
        <f t="shared" ref="Q5:R5" si="6">HLOOKUP(M5*5,E3:I20,3,FALSE)</f>
        <v>1.016725207</v>
      </c>
      <c r="R5" s="7" t="str">
        <f t="shared" si="6"/>
        <v>1.218612032</v>
      </c>
      <c r="S5" s="7" t="str">
        <f t="shared" si="7"/>
        <v>1.084341982</v>
      </c>
      <c r="T5" s="7" t="str">
        <f t="shared" ref="T5:T20" si="9">T4</f>
        <v>0.9</v>
      </c>
    </row>
    <row r="6" ht="12.75" customHeight="1">
      <c r="E6" s="7" t="str">
        <f>'5%'!AO5</f>
        <v>1.062505078</v>
      </c>
      <c r="F6" s="7" t="str">
        <f>'10%'!AO6</f>
        <v>1.209231127</v>
      </c>
      <c r="G6" s="7" t="str">
        <f>'15%'!AO5</f>
        <v>1.275528807</v>
      </c>
      <c r="H6" s="7" t="str">
        <f>'20%'!AO5</f>
        <v>1.135077043</v>
      </c>
      <c r="I6" s="7" t="str">
        <f>'25%'!AO6</f>
        <v>0.7212607006</v>
      </c>
      <c r="K6" s="7" t="str">
        <f>'расчет'!Y24*100</f>
        <v>10.02710038</v>
      </c>
      <c r="M6" s="4" t="str">
        <f t="shared" si="2"/>
        <v>2</v>
      </c>
      <c r="N6" s="7" t="str">
        <f t="shared" si="3"/>
        <v>3</v>
      </c>
      <c r="O6" s="7" t="str">
        <f t="shared" si="4"/>
        <v>0.005420076273</v>
      </c>
      <c r="P6" s="7" t="str">
        <f t="shared" si="5"/>
        <v>0.9945799237</v>
      </c>
      <c r="Q6" s="7" t="str">
        <f t="shared" ref="Q6:R6" si="8">HLOOKUP(M6*5,E3:I21,4,FALSE)</f>
        <v>1.209231127</v>
      </c>
      <c r="R6" s="7" t="str">
        <f t="shared" si="8"/>
        <v>1.275528807</v>
      </c>
      <c r="S6" s="7" t="str">
        <f t="shared" si="7"/>
        <v>1.088631419</v>
      </c>
      <c r="T6" s="7" t="str">
        <f t="shared" si="9"/>
        <v>0.9</v>
      </c>
    </row>
    <row r="7" ht="12.75" customHeight="1">
      <c r="E7" s="7" t="str">
        <f>'5%'!AO6</f>
        <v>1.099103484</v>
      </c>
      <c r="F7" s="7" t="str">
        <f>'10%'!AO7</f>
        <v>1.224281985</v>
      </c>
      <c r="G7" s="7" t="str">
        <f>'15%'!AO6</f>
        <v>1.337950834</v>
      </c>
      <c r="H7" s="7" t="str">
        <f>'20%'!AO6</f>
        <v>1.166246161</v>
      </c>
      <c r="I7" s="7" t="str">
        <f>'25%'!AO7</f>
        <v>0.8094073363</v>
      </c>
      <c r="K7" s="7" t="str">
        <f>'расчет'!Y25*100</f>
        <v>10.43068418</v>
      </c>
      <c r="M7" s="4" t="str">
        <f t="shared" si="2"/>
        <v>2</v>
      </c>
      <c r="N7" s="7" t="str">
        <f t="shared" si="3"/>
        <v>3</v>
      </c>
      <c r="O7" s="7" t="str">
        <f t="shared" si="4"/>
        <v>0.08613683511</v>
      </c>
      <c r="P7" s="7" t="str">
        <f t="shared" si="5"/>
        <v>0.9138631649</v>
      </c>
      <c r="Q7" s="7" t="str">
        <f t="shared" ref="Q7:R7" si="10">HLOOKUP(M7*5,E3:I20,5,FALSE)</f>
        <v>1.224281985</v>
      </c>
      <c r="R7" s="7" t="str">
        <f t="shared" si="10"/>
        <v>1.337950834</v>
      </c>
      <c r="S7" s="7" t="str">
        <f t="shared" si="7"/>
        <v>1.110665754</v>
      </c>
      <c r="T7" s="7" t="str">
        <f t="shared" si="9"/>
        <v>0.9</v>
      </c>
    </row>
    <row r="8" ht="12.75" customHeight="1">
      <c r="E8" s="7" t="str">
        <f>'5%'!AO7</f>
        <v>1.132299622</v>
      </c>
      <c r="F8" s="7" t="str">
        <f>'10%'!AO8</f>
        <v>1.244263445</v>
      </c>
      <c r="G8" s="7" t="str">
        <f>'15%'!AO7</f>
        <v>1.402644318</v>
      </c>
      <c r="H8" s="7" t="str">
        <f>'20%'!AO7</f>
        <v>1.190628111</v>
      </c>
      <c r="I8" s="7" t="str">
        <f>'25%'!AO8</f>
        <v>0.8694664301</v>
      </c>
      <c r="K8" s="7" t="str">
        <f>'расчет'!Y26*100</f>
        <v>10.86966033</v>
      </c>
      <c r="M8" s="4" t="str">
        <f t="shared" si="2"/>
        <v>2</v>
      </c>
      <c r="N8" s="7" t="str">
        <f t="shared" si="3"/>
        <v>3</v>
      </c>
      <c r="O8" s="7" t="str">
        <f t="shared" si="4"/>
        <v>0.1739320663</v>
      </c>
      <c r="P8" s="7" t="str">
        <f t="shared" si="5"/>
        <v>0.8260679337</v>
      </c>
      <c r="Q8" s="7" t="str">
        <f t="shared" ref="Q8:R8" si="11">HLOOKUP(M8*5,E3:I20,6,FALSE)</f>
        <v>1.244263445</v>
      </c>
      <c r="R8" s="7" t="str">
        <f t="shared" si="11"/>
        <v>1.402644318</v>
      </c>
      <c r="S8" s="7" t="str">
        <f t="shared" si="7"/>
        <v>1.144629862</v>
      </c>
      <c r="T8" s="7" t="str">
        <f t="shared" si="9"/>
        <v>0.9</v>
      </c>
    </row>
    <row r="9" ht="12.75" customHeight="1">
      <c r="E9" s="7" t="str">
        <f>'5%'!AO8</f>
        <v>1.152816867</v>
      </c>
      <c r="F9" s="7" t="str">
        <f>'10%'!AO9</f>
        <v>1.269357308</v>
      </c>
      <c r="G9" s="7" t="str">
        <f>'15%'!AO8</f>
        <v>1.457191109</v>
      </c>
      <c r="H9" s="7" t="str">
        <f>'20%'!AO8</f>
        <v>1.210175228</v>
      </c>
      <c r="I9" s="7" t="str">
        <f>'25%'!AO9</f>
        <v>0.9740128992</v>
      </c>
      <c r="K9" s="7" t="str">
        <f>'расчет'!Y27*100</f>
        <v>11.34446516</v>
      </c>
      <c r="M9" s="4" t="str">
        <f t="shared" si="2"/>
        <v>2</v>
      </c>
      <c r="N9" s="7" t="str">
        <f t="shared" si="3"/>
        <v>3</v>
      </c>
      <c r="O9" s="7" t="str">
        <f t="shared" si="4"/>
        <v>0.2688930328</v>
      </c>
      <c r="P9" s="7" t="str">
        <f t="shared" si="5"/>
        <v>0.7311069672</v>
      </c>
      <c r="Q9" s="7" t="str">
        <f t="shared" ref="Q9:R9" si="12">HLOOKUP(M9*5,E3:I20,7,FALSE)</f>
        <v>1.269357308</v>
      </c>
      <c r="R9" s="7" t="str">
        <f t="shared" si="12"/>
        <v>1.457191109</v>
      </c>
      <c r="S9" s="7" t="str">
        <f t="shared" si="7"/>
        <v>1.187878058</v>
      </c>
      <c r="T9" s="7" t="str">
        <f t="shared" si="9"/>
        <v>0.9</v>
      </c>
    </row>
    <row r="10" ht="12.75" customHeight="1">
      <c r="E10" s="7" t="str">
        <f>'5%'!AO9</f>
        <v>1.174089736</v>
      </c>
      <c r="F10" s="7" t="str">
        <f>'10%'!AO10</f>
        <v>1.299353551</v>
      </c>
      <c r="G10" s="7" t="str">
        <f>'15%'!AO9</f>
        <v>1.494648757</v>
      </c>
      <c r="H10" s="7" t="str">
        <f>'20%'!AO9</f>
        <v>1.225534862</v>
      </c>
      <c r="I10" s="7" t="str">
        <f>'25%'!AO10</f>
        <v>1.059584483</v>
      </c>
      <c r="K10" s="7" t="str">
        <f>'расчет'!Y28*100</f>
        <v>11.85560076</v>
      </c>
      <c r="M10" s="4" t="str">
        <f t="shared" si="2"/>
        <v>2</v>
      </c>
      <c r="N10" s="7" t="str">
        <f t="shared" si="3"/>
        <v>3</v>
      </c>
      <c r="O10" s="7" t="str">
        <f t="shared" si="4"/>
        <v>0.3711201513</v>
      </c>
      <c r="P10" s="7" t="str">
        <f t="shared" si="5"/>
        <v>0.6288798487</v>
      </c>
      <c r="Q10" s="7" t="str">
        <f t="shared" ref="Q10:R10" si="13">HLOOKUP(M10*5,E3:I20,8,FALSE)</f>
        <v>1.299353551</v>
      </c>
      <c r="R10" s="7" t="str">
        <f t="shared" si="13"/>
        <v>1.494648757</v>
      </c>
      <c r="S10" s="7" t="str">
        <f t="shared" si="7"/>
        <v>1.234648384</v>
      </c>
      <c r="T10" s="7" t="str">
        <f t="shared" si="9"/>
        <v>0.9</v>
      </c>
    </row>
    <row r="11" ht="12.75" customHeight="1">
      <c r="E11" s="7" t="str">
        <f>'5%'!AO10</f>
        <v>1.190750415</v>
      </c>
      <c r="F11" s="7" t="str">
        <f>'10%'!AO11</f>
        <v>1.32929418</v>
      </c>
      <c r="G11" s="7" t="str">
        <f>'15%'!AO10</f>
        <v>1.514150776</v>
      </c>
      <c r="H11" s="7" t="str">
        <f>'20%'!AO10</f>
        <v>1.238956205</v>
      </c>
      <c r="I11" s="7" t="str">
        <f>'25%'!AO11</f>
        <v>1.086498439</v>
      </c>
      <c r="K11" s="7" t="str">
        <f>'расчет'!Y29*100</f>
        <v>12.40364295</v>
      </c>
      <c r="M11" s="4" t="str">
        <f t="shared" si="2"/>
        <v>2</v>
      </c>
      <c r="N11" s="7" t="str">
        <f t="shared" si="3"/>
        <v>3</v>
      </c>
      <c r="O11" s="7" t="str">
        <f t="shared" si="4"/>
        <v>0.4807285897</v>
      </c>
      <c r="P11" s="7" t="str">
        <f t="shared" si="5"/>
        <v>0.5192714103</v>
      </c>
      <c r="Q11" s="7" t="str">
        <f t="shared" ref="Q11:R11" si="14">HLOOKUP(M11*5,E3:I20,9,FALSE)</f>
        <v>1.32929418</v>
      </c>
      <c r="R11" s="7" t="str">
        <f t="shared" si="14"/>
        <v>1.514150776</v>
      </c>
      <c r="S11" s="7" t="str">
        <f t="shared" si="7"/>
        <v>1.276344027</v>
      </c>
      <c r="T11" s="7" t="str">
        <f t="shared" si="9"/>
        <v>0.9</v>
      </c>
    </row>
    <row r="12" ht="12.75" customHeight="1">
      <c r="E12" s="7" t="str">
        <f>'5%'!AO11</f>
        <v>1.203172685</v>
      </c>
      <c r="F12" s="7" t="str">
        <f>'10%'!AO12</f>
        <v>1.363624477</v>
      </c>
      <c r="G12" s="7" t="str">
        <f>'15%'!AO11</f>
        <v>1.506239188</v>
      </c>
      <c r="H12" s="7" t="str">
        <f>'20%'!AO11</f>
        <v>1.253254226</v>
      </c>
      <c r="I12" s="7" t="str">
        <f>'25%'!AO12</f>
        <v>1.070946308</v>
      </c>
      <c r="K12" s="7" t="str">
        <f>'расчет'!Y30*100</f>
        <v>12.98925026</v>
      </c>
      <c r="M12" s="4" t="str">
        <f t="shared" si="2"/>
        <v>2</v>
      </c>
      <c r="N12" s="7" t="str">
        <f t="shared" si="3"/>
        <v>3</v>
      </c>
      <c r="O12" s="7" t="str">
        <f t="shared" si="4"/>
        <v>0.5978500528</v>
      </c>
      <c r="P12" s="7" t="str">
        <f t="shared" si="5"/>
        <v>0.4021499472</v>
      </c>
      <c r="Q12" s="7" t="str">
        <f t="shared" ref="Q12:R12" si="15">HLOOKUP(M12*5,E3:I20,10,FALSE)</f>
        <v>1.363624477</v>
      </c>
      <c r="R12" s="7" t="str">
        <f t="shared" si="15"/>
        <v>1.506239188</v>
      </c>
      <c r="S12" s="7" t="str">
        <f t="shared" si="7"/>
        <v>1.30399802</v>
      </c>
      <c r="T12" s="7" t="str">
        <f t="shared" si="9"/>
        <v>0.9</v>
      </c>
    </row>
    <row r="13" ht="12.75" customHeight="1">
      <c r="E13" s="7" t="str">
        <f>'5%'!AO12</f>
        <v>1.213645397</v>
      </c>
      <c r="F13" s="7" t="str">
        <f>'10%'!AO13</f>
        <v>1.400879661</v>
      </c>
      <c r="G13" s="7" t="str">
        <f>'15%'!AO12</f>
        <v>1.502074671</v>
      </c>
      <c r="H13" s="7" t="str">
        <f>'20%'!AO12</f>
        <v>1.272800502</v>
      </c>
      <c r="I13" s="7" t="str">
        <f>'25%'!AO13</f>
        <v>1.114402192</v>
      </c>
      <c r="K13" s="7" t="str">
        <f>'расчет'!Y31*100</f>
        <v>13.6131739</v>
      </c>
      <c r="M13" s="4" t="str">
        <f t="shared" si="2"/>
        <v>2</v>
      </c>
      <c r="N13" s="7" t="str">
        <f t="shared" si="3"/>
        <v>3</v>
      </c>
      <c r="O13" s="7" t="str">
        <f t="shared" si="4"/>
        <v>0.7226347801</v>
      </c>
      <c r="P13" s="7" t="str">
        <f t="shared" si="5"/>
        <v>0.2773652199</v>
      </c>
      <c r="Q13" s="7" t="str">
        <f t="shared" ref="Q13:R13" si="16">HLOOKUP(M13*5,E3:I20,11,FALSE)</f>
        <v>1.400879661</v>
      </c>
      <c r="R13" s="7" t="str">
        <f t="shared" si="16"/>
        <v>1.502074671</v>
      </c>
      <c r="S13" s="7" t="str">
        <f t="shared" si="7"/>
        <v>1.326606025</v>
      </c>
      <c r="T13" s="7" t="str">
        <f t="shared" si="9"/>
        <v>0.9</v>
      </c>
    </row>
    <row r="14" ht="12.75" customHeight="1">
      <c r="E14" s="7" t="str">
        <f>'5%'!AO13</f>
        <v>1.222851103</v>
      </c>
      <c r="F14" s="7" t="str">
        <f>'10%'!AO14</f>
        <v>1.447389652</v>
      </c>
      <c r="G14" s="7" t="str">
        <f>'15%'!AO13</f>
        <v>1.520773212</v>
      </c>
      <c r="H14" s="7" t="str">
        <f>'20%'!AO13</f>
        <v>1.300091256</v>
      </c>
      <c r="I14" s="7" t="str">
        <f>'25%'!AO14</f>
        <v>1.18253768</v>
      </c>
      <c r="K14" s="7" t="str">
        <f>'расчет'!Y32*100</f>
        <v>14.27626891</v>
      </c>
      <c r="M14" s="4" t="str">
        <f t="shared" si="2"/>
        <v>2</v>
      </c>
      <c r="N14" s="7" t="str">
        <f t="shared" si="3"/>
        <v>3</v>
      </c>
      <c r="O14" s="7" t="str">
        <f t="shared" si="4"/>
        <v>0.8552537826</v>
      </c>
      <c r="P14" s="7" t="str">
        <f t="shared" si="5"/>
        <v>0.1447462174</v>
      </c>
      <c r="Q14" s="7" t="str">
        <f t="shared" ref="Q14:R14" si="17">HLOOKUP(M14*5,E3:I20,12,FALSE)</f>
        <v>1.447389652</v>
      </c>
      <c r="R14" s="7" t="str">
        <f t="shared" si="17"/>
        <v>1.520773212</v>
      </c>
      <c r="S14" s="7" t="str">
        <f t="shared" si="7"/>
        <v>1.359136098</v>
      </c>
      <c r="T14" s="7" t="str">
        <f t="shared" si="9"/>
        <v>0.9</v>
      </c>
    </row>
    <row r="15" ht="12.75" customHeight="1">
      <c r="E15" s="7" t="str">
        <f>'5%'!AO14</f>
        <v>1.204501953</v>
      </c>
      <c r="F15" s="7" t="str">
        <f>'10%'!AO15</f>
        <v>1.512694157</v>
      </c>
      <c r="G15" s="7" t="str">
        <f>'15%'!AO14</f>
        <v>1.537318807</v>
      </c>
      <c r="H15" s="7" t="str">
        <f>'20%'!AO14</f>
        <v>1.324250166</v>
      </c>
      <c r="I15" s="7" t="str">
        <f>'25%'!AO15</f>
        <v>1.220535682</v>
      </c>
      <c r="K15" s="7" t="str">
        <f>'расчет'!Y33*100</f>
        <v>14.97950675</v>
      </c>
      <c r="M15" s="4" t="str">
        <f t="shared" si="2"/>
        <v>2</v>
      </c>
      <c r="N15" s="7" t="str">
        <f t="shared" si="3"/>
        <v>3</v>
      </c>
      <c r="O15" s="7" t="str">
        <f t="shared" si="4"/>
        <v>0.9959013503</v>
      </c>
      <c r="P15" s="7" t="str">
        <f t="shared" si="5"/>
        <v>0.004098649677</v>
      </c>
      <c r="Q15" s="7" t="str">
        <f t="shared" ref="Q15:R15" si="18">HLOOKUP(M15*5,E3:I20,13,FALSE)</f>
        <v>1.512694157</v>
      </c>
      <c r="R15" s="7" t="str">
        <f t="shared" si="18"/>
        <v>1.537318807</v>
      </c>
      <c r="S15" s="7" t="str">
        <f t="shared" si="7"/>
        <v>1.383496091</v>
      </c>
      <c r="T15" s="7" t="str">
        <f t="shared" si="9"/>
        <v>0.9</v>
      </c>
    </row>
    <row r="16" ht="12.75" customHeight="1">
      <c r="E16" s="7" t="str">
        <f>'5%'!AO15</f>
        <v>1.005671112</v>
      </c>
      <c r="F16" s="7" t="str">
        <f>'10%'!AO16</f>
        <v>1.577661658</v>
      </c>
      <c r="G16" s="7" t="str">
        <f>'15%'!AO15</f>
        <v>1.567658622</v>
      </c>
      <c r="H16" s="7" t="str">
        <f>'20%'!AO15</f>
        <v>1.35364703</v>
      </c>
      <c r="I16" s="7" t="str">
        <f>'25%'!AO16</f>
        <v>1.2541669</v>
      </c>
      <c r="K16" s="7" t="str">
        <f>'расчет'!Y34*100</f>
        <v>15.72398936</v>
      </c>
      <c r="M16" s="4" t="str">
        <f t="shared" si="2"/>
        <v>3</v>
      </c>
      <c r="N16" s="7" t="str">
        <f t="shared" si="3"/>
        <v>4</v>
      </c>
      <c r="O16" s="7" t="str">
        <f t="shared" si="4"/>
        <v>0.1447978727</v>
      </c>
      <c r="P16" s="7" t="str">
        <f t="shared" si="5"/>
        <v>0.8552021273</v>
      </c>
      <c r="Q16" s="7" t="str">
        <f t="shared" ref="Q16:R16" si="19">HLOOKUP(M16*5,E3:I20,14,FALSE)</f>
        <v>1.567658622</v>
      </c>
      <c r="R16" s="7" t="str">
        <f t="shared" si="19"/>
        <v>1.35364703</v>
      </c>
      <c r="S16" s="7" t="str">
        <f t="shared" si="7"/>
        <v>1.383003179</v>
      </c>
      <c r="T16" s="7" t="str">
        <f t="shared" si="9"/>
        <v>0.9</v>
      </c>
    </row>
    <row r="17" ht="12.75" customHeight="1">
      <c r="E17" s="7" t="str">
        <f>'5%'!AO16</f>
        <v>0.7944147778</v>
      </c>
      <c r="F17" s="7" t="str">
        <f>'10%'!AO17</f>
        <v>1.535277671</v>
      </c>
      <c r="G17" s="7" t="str">
        <f>'15%'!AO16</f>
        <v>1.537631857</v>
      </c>
      <c r="H17" s="7" t="str">
        <f>'20%'!AO16</f>
        <v>1.406661708</v>
      </c>
      <c r="I17" s="7" t="str">
        <f>'25%'!AO17</f>
        <v>1.356419281</v>
      </c>
      <c r="K17" s="7" t="str">
        <f>'расчет'!Y35*100</f>
        <v>16.51096508</v>
      </c>
      <c r="M17" s="4" t="str">
        <f t="shared" si="2"/>
        <v>3</v>
      </c>
      <c r="N17" s="7" t="str">
        <f t="shared" si="3"/>
        <v>4</v>
      </c>
      <c r="O17" s="7" t="str">
        <f t="shared" si="4"/>
        <v>0.3021930159</v>
      </c>
      <c r="P17" s="7" t="str">
        <f t="shared" si="5"/>
        <v>0.6978069841</v>
      </c>
      <c r="Q17" s="7" t="str">
        <f t="shared" ref="Q17:R17" si="20">HLOOKUP(M17*5,E3:I20,15,FALSE)</f>
        <v>1.537631857</v>
      </c>
      <c r="R17" s="7" t="str">
        <f t="shared" si="20"/>
        <v>1.406661708</v>
      </c>
      <c r="S17" s="7" t="str">
        <f t="shared" si="7"/>
        <v>1.348248233</v>
      </c>
      <c r="T17" s="7" t="str">
        <f t="shared" si="9"/>
        <v>0.9</v>
      </c>
    </row>
    <row r="18" ht="12.75" customHeight="1">
      <c r="E18" s="7" t="str">
        <f>'5%'!AO17</f>
        <v>0.6507772901</v>
      </c>
      <c r="F18" s="7" t="str">
        <f>'10%'!AO18</f>
        <v>1.352992076</v>
      </c>
      <c r="G18" s="7" t="str">
        <f>'15%'!AO17</f>
        <v>1.756488329</v>
      </c>
      <c r="H18" s="7" t="str">
        <f>'20%'!AO17</f>
        <v>1.510010647</v>
      </c>
      <c r="I18" s="7" t="str">
        <f>'25%'!AO18</f>
        <v>1.466881951</v>
      </c>
      <c r="K18" s="7" t="str">
        <f>'расчет'!Y36*100</f>
        <v>17.34184658</v>
      </c>
      <c r="M18" s="4" t="str">
        <f t="shared" si="2"/>
        <v>3</v>
      </c>
      <c r="N18" s="7" t="str">
        <f t="shared" si="3"/>
        <v>4</v>
      </c>
      <c r="O18" s="7" t="str">
        <f t="shared" si="4"/>
        <v>0.468369316</v>
      </c>
      <c r="P18" s="7" t="str">
        <f t="shared" si="5"/>
        <v>0.531630684</v>
      </c>
      <c r="Q18" s="7" t="str">
        <f t="shared" ref="Q18:R18" si="21">HLOOKUP(M18*5,E3:I20,16,FALSE)</f>
        <v>1.756488329</v>
      </c>
      <c r="R18" s="7" t="str">
        <f t="shared" si="21"/>
        <v>1.510010647</v>
      </c>
      <c r="S18" s="7" t="str">
        <f t="shared" si="7"/>
        <v>1.476941171</v>
      </c>
      <c r="T18" s="7" t="str">
        <f t="shared" si="9"/>
        <v>0.9</v>
      </c>
    </row>
    <row r="19" ht="12.75" customHeight="1">
      <c r="E19" s="7" t="str">
        <f>'5%'!AO18</f>
        <v>0.7459828105</v>
      </c>
      <c r="F19" s="7" t="str">
        <f>'10%'!AO19</f>
        <v>1.099876567</v>
      </c>
      <c r="G19" s="7" t="str">
        <f>'15%'!AO18</f>
        <v>1.706687135</v>
      </c>
      <c r="H19" s="7" t="str">
        <f>'20%'!AO18</f>
        <v>1.712521365</v>
      </c>
      <c r="I19" s="7" t="str">
        <f>'25%'!AO19</f>
        <v>1.549625099</v>
      </c>
      <c r="K19" s="7" t="str">
        <f>'расчет'!Y37*100</f>
        <v>18.21823128</v>
      </c>
      <c r="M19" s="4" t="str">
        <f t="shared" si="2"/>
        <v>3</v>
      </c>
      <c r="N19" s="7" t="str">
        <f t="shared" si="3"/>
        <v>4</v>
      </c>
      <c r="O19" s="7" t="str">
        <f t="shared" si="4"/>
        <v>0.6436462553</v>
      </c>
      <c r="P19" s="7" t="str">
        <f t="shared" si="5"/>
        <v>0.3563537447</v>
      </c>
      <c r="Q19" s="7" t="str">
        <f t="shared" ref="Q19:R19" si="22">HLOOKUP(M19*5,E3:I20,17,FALSE)</f>
        <v>1.706687135</v>
      </c>
      <c r="R19" s="7" t="str">
        <f t="shared" si="22"/>
        <v>1.712521365</v>
      </c>
      <c r="S19" s="7" t="str">
        <f t="shared" si="7"/>
        <v>1.539398084</v>
      </c>
      <c r="T19" s="7" t="str">
        <f t="shared" si="9"/>
        <v>0.9</v>
      </c>
    </row>
    <row r="20" ht="12.75" customHeight="1">
      <c r="E20" s="7" t="str">
        <f>'5%'!AO19</f>
        <v>#N/A</v>
      </c>
      <c r="F20" s="7" t="str">
        <f>'10%'!AO20</f>
        <v>#N/A</v>
      </c>
      <c r="G20" s="7" t="str">
        <f>'15%'!AO19</f>
        <v>1.426625308</v>
      </c>
      <c r="H20" s="7" t="str">
        <f>'20%'!AO19</f>
        <v>1.886299752</v>
      </c>
      <c r="I20" s="7" t="str">
        <f>'25%'!AO20</f>
        <v>1.753649571</v>
      </c>
      <c r="K20" s="7" t="str">
        <f>'расчет'!Y38*100</f>
        <v>19.14192452</v>
      </c>
      <c r="M20" s="4" t="str">
        <f t="shared" si="2"/>
        <v>3</v>
      </c>
      <c r="N20" s="7" t="str">
        <f t="shared" si="3"/>
        <v>4</v>
      </c>
      <c r="O20" s="7" t="str">
        <f t="shared" si="4"/>
        <v>0.8283849045</v>
      </c>
      <c r="P20" s="7" t="str">
        <f t="shared" si="5"/>
        <v>0.1716150955</v>
      </c>
      <c r="Q20" s="7" t="str">
        <f t="shared" ref="Q20:R20" si="23">HLOOKUP(M20*5,E3:I20,18,FALSE)</f>
        <v>1.426625308</v>
      </c>
      <c r="R20" s="7" t="str">
        <f t="shared" si="23"/>
        <v>1.886299752</v>
      </c>
      <c r="S20" s="7" t="str">
        <f t="shared" si="7"/>
        <v>1.626671411</v>
      </c>
      <c r="T20" s="7" t="str">
        <f t="shared" si="9"/>
        <v>0.9</v>
      </c>
    </row>
    <row r="21" ht="12.75" customHeight="1">
      <c r="M21" s="4"/>
      <c r="O21" s="4"/>
    </row>
    <row r="22" ht="12.75" customHeight="1">
      <c r="M22" s="4"/>
      <c r="O22" s="4"/>
    </row>
    <row r="23" ht="12.75" customHeight="1">
      <c r="E23" s="6" t="s">
        <v>8</v>
      </c>
      <c r="M23" s="4"/>
      <c r="O23" s="4"/>
    </row>
    <row r="24" ht="12.75" customHeight="1">
      <c r="E24" s="4">
        <v>5.0</v>
      </c>
      <c r="F24" s="4">
        <v>10.0</v>
      </c>
      <c r="G24" s="4">
        <v>15.0</v>
      </c>
      <c r="H24" s="4">
        <v>20.0</v>
      </c>
      <c r="I24" s="4">
        <v>25.0</v>
      </c>
      <c r="M24" s="4"/>
      <c r="O24" s="4"/>
      <c r="S24" s="4" t="s">
        <v>8</v>
      </c>
    </row>
    <row r="25" ht="12.75" customHeight="1">
      <c r="E25" s="7" t="str">
        <f>'5%'!AO54</f>
        <v>43.33239793</v>
      </c>
      <c r="F25" s="7" t="str">
        <f>'10%'!AO55</f>
        <v>70.7842373</v>
      </c>
      <c r="G25" s="7" t="str">
        <f>'15%'!AO54</f>
        <v>16.46598114</v>
      </c>
      <c r="H25" s="7" t="str">
        <f>'20%'!AO53</f>
        <v>8.554845578</v>
      </c>
      <c r="I25" s="7" t="str">
        <f>'25%'!AO55</f>
        <v>3.521189835</v>
      </c>
      <c r="K25" s="7" t="str">
        <f>'расчет'!Y22*100</f>
        <v>9.324651406</v>
      </c>
      <c r="M25" s="4" t="str">
        <f t="shared" ref="M25:M41" si="25">ROUNDDOWN(K25/5,0)</f>
        <v>1</v>
      </c>
      <c r="N25" s="7" t="str">
        <f t="shared" ref="N25:N41" si="26">M25+1</f>
        <v>2</v>
      </c>
      <c r="O25" s="7" t="str">
        <f t="shared" ref="O25:O41" si="27">(K25-M25*5)/5</f>
        <v>0.8649302811</v>
      </c>
      <c r="P25" s="7" t="str">
        <f t="shared" ref="P25:P41" si="28">1-O25</f>
        <v>0.1350697189</v>
      </c>
      <c r="Q25" s="7" t="str">
        <f t="shared" ref="Q25:R25" si="24">HLOOKUP(M25*5,E24:I41,2,FALSE)</f>
        <v>43.33239793</v>
      </c>
      <c r="R25" s="7" t="str">
        <f t="shared" si="24"/>
        <v>70.7842373</v>
      </c>
      <c r="S25" s="7" t="str">
        <f t="shared" ref="S25:S41" si="30">R25*O25+Q25*P25</f>
        <v>67.07632508</v>
      </c>
    </row>
    <row r="26" ht="12.75" customHeight="1">
      <c r="E26" s="7" t="str">
        <f>'5%'!AO55</f>
        <v>42.53293733</v>
      </c>
      <c r="F26" s="7" t="str">
        <f>'10%'!AO56</f>
        <v>51.62635509</v>
      </c>
      <c r="G26" s="7" t="str">
        <f>'15%'!AO55</f>
        <v>17.13857411</v>
      </c>
      <c r="H26" s="7" t="str">
        <f>'20%'!AO54</f>
        <v>8.716952594</v>
      </c>
      <c r="I26" s="7" t="str">
        <f>'25%'!AO56</f>
        <v>4.020259303</v>
      </c>
      <c r="K26" s="7" t="str">
        <f>'расчет'!Y23*100</f>
        <v>9.658531265</v>
      </c>
      <c r="M26" s="4" t="str">
        <f t="shared" si="25"/>
        <v>1</v>
      </c>
      <c r="N26" s="7" t="str">
        <f t="shared" si="26"/>
        <v>2</v>
      </c>
      <c r="O26" s="7" t="str">
        <f t="shared" si="27"/>
        <v>0.931706253</v>
      </c>
      <c r="P26" s="7" t="str">
        <f t="shared" si="28"/>
        <v>0.06829374699</v>
      </c>
      <c r="Q26" s="7" t="str">
        <f t="shared" ref="Q26:R26" si="29">HLOOKUP(M26*5,E24:I41,3,FALSE)</f>
        <v>42.53293733</v>
      </c>
      <c r="R26" s="7" t="str">
        <f t="shared" si="29"/>
        <v>51.62635509</v>
      </c>
      <c r="S26" s="7" t="str">
        <f t="shared" si="30"/>
        <v>51.00533152</v>
      </c>
    </row>
    <row r="27" ht="12.75" customHeight="1">
      <c r="E27" s="7" t="str">
        <f>'5%'!AO56</f>
        <v>41.3796498</v>
      </c>
      <c r="F27" s="7" t="str">
        <f>'10%'!AO57</f>
        <v>42.6902396</v>
      </c>
      <c r="G27" s="7" t="str">
        <f>'15%'!AO56</f>
        <v>17.10741049</v>
      </c>
      <c r="H27" s="7" t="str">
        <f>'20%'!AO55</f>
        <v>8.565875214</v>
      </c>
      <c r="I27" s="7" t="str">
        <f>'25%'!AO57</f>
        <v>4.59958931</v>
      </c>
      <c r="K27" s="7" t="str">
        <f>'расчет'!Y24*100</f>
        <v>10.02710038</v>
      </c>
      <c r="M27" s="4" t="str">
        <f t="shared" si="25"/>
        <v>2</v>
      </c>
      <c r="N27" s="7" t="str">
        <f t="shared" si="26"/>
        <v>3</v>
      </c>
      <c r="O27" s="7" t="str">
        <f t="shared" si="27"/>
        <v>0.005420076273</v>
      </c>
      <c r="P27" s="7" t="str">
        <f t="shared" si="28"/>
        <v>0.9945799237</v>
      </c>
      <c r="Q27" s="7" t="str">
        <f t="shared" ref="Q27:R27" si="31">HLOOKUP(M27*5,E24:I42,4,FALSE)</f>
        <v>42.6902396</v>
      </c>
      <c r="R27" s="7" t="str">
        <f t="shared" si="31"/>
        <v>17.10741049</v>
      </c>
      <c r="S27" s="7" t="str">
        <f t="shared" si="30"/>
        <v>42.55157872</v>
      </c>
    </row>
    <row r="28" ht="12.75" customHeight="1">
      <c r="E28" s="7" t="str">
        <f>'5%'!AO57</f>
        <v>40.58442765</v>
      </c>
      <c r="F28" s="7" t="str">
        <f>'10%'!AO58</f>
        <v>39.12504452</v>
      </c>
      <c r="G28" s="7" t="str">
        <f>'15%'!AO57</f>
        <v>17.72146606</v>
      </c>
      <c r="H28" s="7" t="str">
        <f>'20%'!AO56</f>
        <v>8.538147165</v>
      </c>
      <c r="I28" s="7" t="str">
        <f>'25%'!AO58</f>
        <v>4.979806023</v>
      </c>
      <c r="K28" s="7" t="str">
        <f>'расчет'!Y25*100</f>
        <v>10.43068418</v>
      </c>
      <c r="M28" s="4" t="str">
        <f t="shared" si="25"/>
        <v>2</v>
      </c>
      <c r="N28" s="7" t="str">
        <f t="shared" si="26"/>
        <v>3</v>
      </c>
      <c r="O28" s="7" t="str">
        <f t="shared" si="27"/>
        <v>0.08613683511</v>
      </c>
      <c r="P28" s="7" t="str">
        <f t="shared" si="28"/>
        <v>0.9138631649</v>
      </c>
      <c r="Q28" s="7" t="str">
        <f t="shared" ref="Q28:R28" si="32">HLOOKUP(M28*5,E24:I41,5,FALSE)</f>
        <v>39.12504452</v>
      </c>
      <c r="R28" s="7" t="str">
        <f t="shared" si="32"/>
        <v>17.72146606</v>
      </c>
      <c r="S28" s="7" t="str">
        <f t="shared" si="30"/>
        <v>37.28140801</v>
      </c>
    </row>
    <row r="29" ht="12.75" customHeight="1">
      <c r="E29" s="7" t="str">
        <f>'5%'!AO58</f>
        <v>39.28132007</v>
      </c>
      <c r="F29" s="7" t="str">
        <f>'10%'!AO59</f>
        <v>36.9315371</v>
      </c>
      <c r="G29" s="7" t="str">
        <f>'15%'!AO58</f>
        <v>18.9976001</v>
      </c>
      <c r="H29" s="7" t="str">
        <f>'20%'!AO57</f>
        <v>8.476587489</v>
      </c>
      <c r="I29" s="7" t="str">
        <f>'25%'!AO59</f>
        <v>5.228312827</v>
      </c>
      <c r="K29" s="7" t="str">
        <f>'расчет'!Y26*100</f>
        <v>10.86966033</v>
      </c>
      <c r="M29" s="4" t="str">
        <f t="shared" si="25"/>
        <v>2</v>
      </c>
      <c r="N29" s="7" t="str">
        <f t="shared" si="26"/>
        <v>3</v>
      </c>
      <c r="O29" s="7" t="str">
        <f t="shared" si="27"/>
        <v>0.1739320663</v>
      </c>
      <c r="P29" s="7" t="str">
        <f t="shared" si="28"/>
        <v>0.8260679337</v>
      </c>
      <c r="Q29" s="7" t="str">
        <f t="shared" ref="Q29:R29" si="33">HLOOKUP(M29*5,E24:I41,6,FALSE)</f>
        <v>36.9315371</v>
      </c>
      <c r="R29" s="7" t="str">
        <f t="shared" si="33"/>
        <v>18.9976001</v>
      </c>
      <c r="S29" s="7" t="str">
        <f t="shared" si="30"/>
        <v>33.81225038</v>
      </c>
    </row>
    <row r="30" ht="12.75" customHeight="1">
      <c r="E30" s="7" t="str">
        <f>'5%'!AO59</f>
        <v>38.48109248</v>
      </c>
      <c r="F30" s="7" t="str">
        <f>'10%'!AO60</f>
        <v>35.91983622</v>
      </c>
      <c r="G30" s="7" t="str">
        <f>'15%'!AO59</f>
        <v>20.34656426</v>
      </c>
      <c r="H30" s="7" t="str">
        <f>'20%'!AO58</f>
        <v>8.401362839</v>
      </c>
      <c r="I30" s="7" t="str">
        <f>'25%'!AO60</f>
        <v>5.630096487</v>
      </c>
      <c r="K30" s="7" t="str">
        <f>'расчет'!Y27*100</f>
        <v>11.34446516</v>
      </c>
      <c r="M30" s="4" t="str">
        <f t="shared" si="25"/>
        <v>2</v>
      </c>
      <c r="N30" s="7" t="str">
        <f t="shared" si="26"/>
        <v>3</v>
      </c>
      <c r="O30" s="7" t="str">
        <f t="shared" si="27"/>
        <v>0.2688930328</v>
      </c>
      <c r="P30" s="7" t="str">
        <f t="shared" si="28"/>
        <v>0.7311069672</v>
      </c>
      <c r="Q30" s="7" t="str">
        <f t="shared" ref="Q30:R30" si="34">HLOOKUP(M30*5,E24:I41,7,FALSE)</f>
        <v>35.91983622</v>
      </c>
      <c r="R30" s="7" t="str">
        <f t="shared" si="34"/>
        <v>20.34656426</v>
      </c>
      <c r="S30" s="7" t="str">
        <f t="shared" si="30"/>
        <v>31.73229189</v>
      </c>
    </row>
    <row r="31" ht="12.75" customHeight="1">
      <c r="E31" s="7" t="str">
        <f>'5%'!AO60</f>
        <v>37.38730169</v>
      </c>
      <c r="F31" s="7" t="str">
        <f>'10%'!AO61</f>
        <v>35.31466095</v>
      </c>
      <c r="G31" s="7" t="str">
        <f>'15%'!AO60</f>
        <v>21.2140951</v>
      </c>
      <c r="H31" s="7" t="str">
        <f>'20%'!AO59</f>
        <v>8.312206064</v>
      </c>
      <c r="I31" s="7" t="str">
        <f>'25%'!AO61</f>
        <v>5.890064895</v>
      </c>
      <c r="K31" s="7" t="str">
        <f>'расчет'!Y28*100</f>
        <v>11.85560076</v>
      </c>
      <c r="M31" s="4" t="str">
        <f t="shared" si="25"/>
        <v>2</v>
      </c>
      <c r="N31" s="7" t="str">
        <f t="shared" si="26"/>
        <v>3</v>
      </c>
      <c r="O31" s="7" t="str">
        <f t="shared" si="27"/>
        <v>0.3711201513</v>
      </c>
      <c r="P31" s="7" t="str">
        <f t="shared" si="28"/>
        <v>0.6288798487</v>
      </c>
      <c r="Q31" s="7" t="str">
        <f t="shared" ref="Q31:R31" si="35">HLOOKUP(M31*5,E24:I41,8,FALSE)</f>
        <v>35.31466095</v>
      </c>
      <c r="R31" s="7" t="str">
        <f t="shared" si="35"/>
        <v>21.2140951</v>
      </c>
      <c r="S31" s="7" t="str">
        <f t="shared" si="30"/>
        <v>30.08165682</v>
      </c>
    </row>
    <row r="32" ht="12.75" customHeight="1">
      <c r="E32" s="7" t="str">
        <f>'5%'!AO61</f>
        <v>36.17152997</v>
      </c>
      <c r="F32" s="7" t="str">
        <f>'10%'!AO62</f>
        <v>34.83990439</v>
      </c>
      <c r="G32" s="7" t="str">
        <f>'15%'!AO61</f>
        <v>21.24123232</v>
      </c>
      <c r="H32" s="7" t="str">
        <f>'20%'!AO60</f>
        <v>8.158316497</v>
      </c>
      <c r="I32" s="7" t="str">
        <f>'25%'!AO62</f>
        <v>5.91097735</v>
      </c>
      <c r="K32" s="7" t="str">
        <f>'расчет'!Y29*100</f>
        <v>12.40364295</v>
      </c>
      <c r="M32" s="4" t="str">
        <f t="shared" si="25"/>
        <v>2</v>
      </c>
      <c r="N32" s="7" t="str">
        <f t="shared" si="26"/>
        <v>3</v>
      </c>
      <c r="O32" s="7" t="str">
        <f t="shared" si="27"/>
        <v>0.4807285897</v>
      </c>
      <c r="P32" s="7" t="str">
        <f t="shared" si="28"/>
        <v>0.5192714103</v>
      </c>
      <c r="Q32" s="7" t="str">
        <f t="shared" ref="Q32:R32" si="36">HLOOKUP(M32*5,E24:I41,9,FALSE)</f>
        <v>34.83990439</v>
      </c>
      <c r="R32" s="7" t="str">
        <f t="shared" si="36"/>
        <v>21.24123232</v>
      </c>
      <c r="S32" s="7" t="str">
        <f t="shared" si="30"/>
        <v>28.30263395</v>
      </c>
    </row>
    <row r="33" ht="12.75" customHeight="1">
      <c r="E33" s="7" t="str">
        <f>'5%'!AO62</f>
        <v>34.74402703</v>
      </c>
      <c r="F33" s="7" t="str">
        <f>'10%'!AO63</f>
        <v>34.45743593</v>
      </c>
      <c r="G33" s="7" t="str">
        <f>'15%'!AO62</f>
        <v>20.07989771</v>
      </c>
      <c r="H33" s="7" t="str">
        <f>'20%'!AO61</f>
        <v>7.996336345</v>
      </c>
      <c r="I33" s="7" t="str">
        <f>'25%'!AO63</f>
        <v>5.787636106</v>
      </c>
      <c r="K33" s="7" t="str">
        <f>'расчет'!Y30*100</f>
        <v>12.98925026</v>
      </c>
      <c r="M33" s="4" t="str">
        <f t="shared" si="25"/>
        <v>2</v>
      </c>
      <c r="N33" s="7" t="str">
        <f t="shared" si="26"/>
        <v>3</v>
      </c>
      <c r="O33" s="7" t="str">
        <f t="shared" si="27"/>
        <v>0.5978500528</v>
      </c>
      <c r="P33" s="7" t="str">
        <f t="shared" si="28"/>
        <v>0.4021499472</v>
      </c>
      <c r="Q33" s="7" t="str">
        <f t="shared" ref="Q33:R33" si="37">HLOOKUP(M33*5,E24:I41,10,FALSE)</f>
        <v>34.45743593</v>
      </c>
      <c r="R33" s="7" t="str">
        <f t="shared" si="37"/>
        <v>20.07989771</v>
      </c>
      <c r="S33" s="7" t="str">
        <f t="shared" si="30"/>
        <v>25.86182395</v>
      </c>
    </row>
    <row r="34" ht="12.75" customHeight="1">
      <c r="E34" s="7" t="str">
        <f>'5%'!AO63</f>
        <v>33.07041084</v>
      </c>
      <c r="F34" s="7" t="str">
        <f>'10%'!AO64</f>
        <v>33.93724014</v>
      </c>
      <c r="G34" s="7" t="str">
        <f>'15%'!AO63</f>
        <v>18.64273941</v>
      </c>
      <c r="H34" s="7" t="str">
        <f>'20%'!AO62</f>
        <v>7.850376862</v>
      </c>
      <c r="I34" s="7" t="str">
        <f>'25%'!AO64</f>
        <v>5.882124037</v>
      </c>
      <c r="K34" s="7" t="str">
        <f>'расчет'!Y31*100</f>
        <v>13.6131739</v>
      </c>
      <c r="M34" s="4" t="str">
        <f t="shared" si="25"/>
        <v>2</v>
      </c>
      <c r="N34" s="7" t="str">
        <f t="shared" si="26"/>
        <v>3</v>
      </c>
      <c r="O34" s="7" t="str">
        <f t="shared" si="27"/>
        <v>0.7226347801</v>
      </c>
      <c r="P34" s="7" t="str">
        <f t="shared" si="28"/>
        <v>0.2773652199</v>
      </c>
      <c r="Q34" s="7" t="str">
        <f t="shared" ref="Q34:R34" si="38">HLOOKUP(M34*5,E24:I41,11,FALSE)</f>
        <v>33.93724014</v>
      </c>
      <c r="R34" s="7" t="str">
        <f t="shared" si="38"/>
        <v>18.64273941</v>
      </c>
      <c r="S34" s="7" t="str">
        <f t="shared" si="30"/>
        <v>22.88490197</v>
      </c>
    </row>
    <row r="35" ht="12.75" customHeight="1">
      <c r="E35" s="7" t="str">
        <f>'5%'!AO64</f>
        <v>30.92417405</v>
      </c>
      <c r="F35" s="7" t="str">
        <f>'10%'!AO65</f>
        <v>32.91470107</v>
      </c>
      <c r="G35" s="7" t="str">
        <f>'15%'!AO64</f>
        <v>18.65858036</v>
      </c>
      <c r="H35" s="7" t="str">
        <f>'20%'!AO63</f>
        <v>7.81215115</v>
      </c>
      <c r="I35" s="7" t="str">
        <f>'25%'!AO65</f>
        <v>6.010129538</v>
      </c>
      <c r="K35" s="7" t="str">
        <f>'расчет'!Y32*100</f>
        <v>14.27626891</v>
      </c>
      <c r="M35" s="4" t="str">
        <f t="shared" si="25"/>
        <v>2</v>
      </c>
      <c r="N35" s="7" t="str">
        <f t="shared" si="26"/>
        <v>3</v>
      </c>
      <c r="O35" s="7" t="str">
        <f t="shared" si="27"/>
        <v>0.8552537826</v>
      </c>
      <c r="P35" s="7" t="str">
        <f t="shared" si="28"/>
        <v>0.1447462174</v>
      </c>
      <c r="Q35" s="7" t="str">
        <f t="shared" ref="Q35:R35" si="39">HLOOKUP(M35*5,E24:I41,12,FALSE)</f>
        <v>32.91470107</v>
      </c>
      <c r="R35" s="7" t="str">
        <f t="shared" si="39"/>
        <v>18.65858036</v>
      </c>
      <c r="S35" s="7" t="str">
        <f t="shared" si="30"/>
        <v>20.7220999</v>
      </c>
    </row>
    <row r="36" ht="12.75" customHeight="1">
      <c r="E36" s="7" t="str">
        <f>'5%'!AO65</f>
        <v>27.16201374</v>
      </c>
      <c r="F36" s="7" t="str">
        <f>'10%'!AO66</f>
        <v>30.94938413</v>
      </c>
      <c r="G36" s="7" t="str">
        <f>'15%'!AO65</f>
        <v>18.81733058</v>
      </c>
      <c r="H36" s="7" t="str">
        <f>'20%'!AO64</f>
        <v>7.781596629</v>
      </c>
      <c r="I36" s="7" t="str">
        <f>'25%'!AO66</f>
        <v>5.991746463</v>
      </c>
      <c r="K36" s="7" t="str">
        <f>'расчет'!Y33*100</f>
        <v>14.97950675</v>
      </c>
      <c r="M36" s="4" t="str">
        <f t="shared" si="25"/>
        <v>2</v>
      </c>
      <c r="N36" s="7" t="str">
        <f t="shared" si="26"/>
        <v>3</v>
      </c>
      <c r="O36" s="7" t="str">
        <f t="shared" si="27"/>
        <v>0.9959013503</v>
      </c>
      <c r="P36" s="7" t="str">
        <f t="shared" si="28"/>
        <v>0.004098649677</v>
      </c>
      <c r="Q36" s="7" t="str">
        <f t="shared" ref="Q36:R36" si="40">HLOOKUP(M36*5,E24:I41,13,FALSE)</f>
        <v>30.94938413</v>
      </c>
      <c r="R36" s="7" t="str">
        <f t="shared" si="40"/>
        <v>18.81733058</v>
      </c>
      <c r="S36" s="7" t="str">
        <f t="shared" si="30"/>
        <v>18.86705562</v>
      </c>
    </row>
    <row r="37" ht="12.75" customHeight="1">
      <c r="E37" s="7" t="str">
        <f>'5%'!AO66</f>
        <v>14.76299558</v>
      </c>
      <c r="F37" s="7" t="str">
        <f>'10%'!AO67</f>
        <v>26.89725692</v>
      </c>
      <c r="G37" s="7" t="str">
        <f>'15%'!AO66</f>
        <v>18.69572405</v>
      </c>
      <c r="H37" s="7" t="str">
        <f>'20%'!AO65</f>
        <v>7.675781861</v>
      </c>
      <c r="I37" s="7" t="str">
        <f>'25%'!AO67</f>
        <v>6.000621191</v>
      </c>
      <c r="K37" s="7" t="str">
        <f>'расчет'!Y34*100</f>
        <v>15.72398936</v>
      </c>
      <c r="M37" s="4" t="str">
        <f t="shared" si="25"/>
        <v>3</v>
      </c>
      <c r="N37" s="7" t="str">
        <f t="shared" si="26"/>
        <v>4</v>
      </c>
      <c r="O37" s="7" t="str">
        <f t="shared" si="27"/>
        <v>0.1447978727</v>
      </c>
      <c r="P37" s="7" t="str">
        <f t="shared" si="28"/>
        <v>0.8552021273</v>
      </c>
      <c r="Q37" s="7" t="str">
        <f t="shared" ref="Q37:R37" si="41">HLOOKUP(M37*5,E24:I41,14,FALSE)</f>
        <v>18.69572405</v>
      </c>
      <c r="R37" s="7" t="str">
        <f t="shared" si="41"/>
        <v>7.675781861</v>
      </c>
      <c r="S37" s="7" t="str">
        <f t="shared" si="30"/>
        <v>17.10005986</v>
      </c>
    </row>
    <row r="38" ht="12.75" customHeight="1">
      <c r="E38" s="7" t="str">
        <f>'5%'!AO67</f>
        <v>7.831400243</v>
      </c>
      <c r="F38" s="7" t="str">
        <f>'10%'!AO68</f>
        <v>21.24875262</v>
      </c>
      <c r="G38" s="7" t="str">
        <f>'15%'!AO67</f>
        <v>15.23540866</v>
      </c>
      <c r="H38" s="7" t="str">
        <f>'20%'!AO66</f>
        <v>7.527087433</v>
      </c>
      <c r="I38" s="7" t="str">
        <f>'25%'!AO68</f>
        <v>5.870128489</v>
      </c>
      <c r="K38" s="7" t="str">
        <f>'расчет'!Y35*100</f>
        <v>16.51096508</v>
      </c>
      <c r="M38" s="4" t="str">
        <f t="shared" si="25"/>
        <v>3</v>
      </c>
      <c r="N38" s="7" t="str">
        <f t="shared" si="26"/>
        <v>4</v>
      </c>
      <c r="O38" s="7" t="str">
        <f t="shared" si="27"/>
        <v>0.3021930159</v>
      </c>
      <c r="P38" s="7" t="str">
        <f t="shared" si="28"/>
        <v>0.6978069841</v>
      </c>
      <c r="Q38" s="7" t="str">
        <f t="shared" ref="Q38:R38" si="42">HLOOKUP(M38*5,E24:I41,15,FALSE)</f>
        <v>15.23540866</v>
      </c>
      <c r="R38" s="7" t="str">
        <f t="shared" si="42"/>
        <v>7.527087433</v>
      </c>
      <c r="S38" s="7" t="str">
        <f t="shared" si="30"/>
        <v>12.90600782</v>
      </c>
    </row>
    <row r="39" ht="12.75" customHeight="1">
      <c r="E39" s="7" t="str">
        <f>'5%'!AO68</f>
        <v>3.513493933</v>
      </c>
      <c r="F39" s="7" t="str">
        <f>'10%'!AO69</f>
        <v>12.083024</v>
      </c>
      <c r="G39" s="7" t="str">
        <f>'15%'!AO68</f>
        <v>17.87755557</v>
      </c>
      <c r="H39" s="7" t="str">
        <f>'20%'!AO67</f>
        <v>7.673033386</v>
      </c>
      <c r="I39" s="7" t="str">
        <f>'25%'!AO69</f>
        <v>5.976265601</v>
      </c>
      <c r="K39" s="7" t="str">
        <f>'расчет'!Y36*100</f>
        <v>17.34184658</v>
      </c>
      <c r="M39" s="4" t="str">
        <f t="shared" si="25"/>
        <v>3</v>
      </c>
      <c r="N39" s="7" t="str">
        <f t="shared" si="26"/>
        <v>4</v>
      </c>
      <c r="O39" s="7" t="str">
        <f t="shared" si="27"/>
        <v>0.468369316</v>
      </c>
      <c r="P39" s="7" t="str">
        <f t="shared" si="28"/>
        <v>0.531630684</v>
      </c>
      <c r="Q39" s="7" t="str">
        <f t="shared" ref="Q39:R39" si="43">HLOOKUP(M39*5,E24:I41,16,FALSE)</f>
        <v>17.87755557</v>
      </c>
      <c r="R39" s="7" t="str">
        <f t="shared" si="43"/>
        <v>7.673033386</v>
      </c>
      <c r="S39" s="7" t="str">
        <f t="shared" si="30"/>
        <v>13.09807049</v>
      </c>
    </row>
    <row r="40" ht="12.75" customHeight="1">
      <c r="E40" s="7" t="str">
        <f>'5%'!AO69</f>
        <v>3.36183615</v>
      </c>
      <c r="F40" s="7" t="str">
        <f>'10%'!AO70</f>
        <v>4.923607442</v>
      </c>
      <c r="G40" s="7" t="str">
        <f>'15%'!AO69</f>
        <v>11.96743209</v>
      </c>
      <c r="H40" s="7" t="str">
        <f>'20%'!AO68</f>
        <v>9.574051647</v>
      </c>
      <c r="I40" s="7" t="str">
        <f>'25%'!AO70</f>
        <v>5.974233862</v>
      </c>
      <c r="K40" s="7" t="str">
        <f>'расчет'!Y37*100</f>
        <v>18.21823128</v>
      </c>
      <c r="M40" s="4" t="str">
        <f t="shared" si="25"/>
        <v>3</v>
      </c>
      <c r="N40" s="7" t="str">
        <f t="shared" si="26"/>
        <v>4</v>
      </c>
      <c r="O40" s="7" t="str">
        <f t="shared" si="27"/>
        <v>0.6436462553</v>
      </c>
      <c r="P40" s="7" t="str">
        <f t="shared" si="28"/>
        <v>0.3563537447</v>
      </c>
      <c r="Q40" s="7" t="str">
        <f t="shared" ref="Q40:R40" si="44">HLOOKUP(M40*5,E24:I41,17,FALSE)</f>
        <v>11.96743209</v>
      </c>
      <c r="R40" s="7" t="str">
        <f t="shared" si="44"/>
        <v>9.574051647</v>
      </c>
      <c r="S40" s="7" t="str">
        <f t="shared" si="30"/>
        <v>10.42694173</v>
      </c>
    </row>
    <row r="41" ht="12.75" customHeight="1">
      <c r="E41" s="7" t="str">
        <f>'5%'!AO70</f>
        <v>#N/A</v>
      </c>
      <c r="F41" s="7" t="str">
        <f>'10%'!AO71</f>
        <v>#N/A</v>
      </c>
      <c r="G41" s="7" t="str">
        <f>'15%'!AO70</f>
        <v>5.009555364</v>
      </c>
      <c r="H41" s="7" t="str">
        <f>'20%'!AO69</f>
        <v>9.708243918</v>
      </c>
      <c r="I41" s="7" t="str">
        <f>'25%'!AO71</f>
        <v>6.934501157</v>
      </c>
      <c r="K41" s="7" t="str">
        <f>'расчет'!Y38*100</f>
        <v>19.14192452</v>
      </c>
      <c r="M41" s="4" t="str">
        <f t="shared" si="25"/>
        <v>3</v>
      </c>
      <c r="N41" s="7" t="str">
        <f t="shared" si="26"/>
        <v>4</v>
      </c>
      <c r="O41" s="7" t="str">
        <f t="shared" si="27"/>
        <v>0.8283849045</v>
      </c>
      <c r="P41" s="7" t="str">
        <f t="shared" si="28"/>
        <v>0.1716150955</v>
      </c>
      <c r="Q41" s="7" t="str">
        <f t="shared" ref="Q41:R41" si="45">HLOOKUP(M41*5,E24:I41,18,FALSE)</f>
        <v>5.009555364</v>
      </c>
      <c r="R41" s="7" t="str">
        <f t="shared" si="45"/>
        <v>9.708243918</v>
      </c>
      <c r="S41" s="7" t="str">
        <f t="shared" si="30"/>
        <v>8.901878033</v>
      </c>
    </row>
    <row r="42" ht="12.75" customHeight="1">
      <c r="M42" s="4"/>
      <c r="O42" s="4"/>
    </row>
    <row r="43" ht="12.75" customHeight="1">
      <c r="M43" s="4"/>
      <c r="O43" s="4"/>
    </row>
    <row r="44" ht="12.75" customHeight="1">
      <c r="M44" s="4"/>
      <c r="O44" s="4"/>
    </row>
    <row r="45" ht="12.75" customHeight="1">
      <c r="M45" s="4"/>
      <c r="O45" s="4"/>
    </row>
    <row r="46" ht="12.75" customHeight="1">
      <c r="M46" s="4"/>
      <c r="O46" s="4"/>
    </row>
    <row r="47" ht="12.75" customHeight="1">
      <c r="M47" s="4"/>
      <c r="O47" s="4"/>
    </row>
    <row r="48" ht="12.75" customHeight="1">
      <c r="M48" s="4"/>
      <c r="O48" s="4"/>
    </row>
    <row r="49" ht="12.75" customHeight="1">
      <c r="M49" s="4"/>
      <c r="O49" s="4"/>
    </row>
    <row r="50" ht="12.75" customHeight="1">
      <c r="M50" s="4"/>
      <c r="O50" s="4"/>
    </row>
    <row r="51" ht="12.75" customHeight="1">
      <c r="M51" s="4"/>
      <c r="O51" s="4"/>
    </row>
    <row r="52" ht="12.75" customHeight="1">
      <c r="M52" s="4"/>
      <c r="O52" s="4"/>
    </row>
    <row r="53" ht="12.75" customHeight="1">
      <c r="M53" s="4"/>
      <c r="O53" s="4"/>
    </row>
    <row r="54" ht="12.75" customHeight="1">
      <c r="M54" s="4"/>
      <c r="O54" s="4"/>
    </row>
    <row r="55" ht="12.75" customHeight="1">
      <c r="M55" s="4"/>
      <c r="O55" s="4"/>
    </row>
    <row r="56" ht="12.75" customHeight="1">
      <c r="M56" s="4"/>
      <c r="O56" s="4"/>
    </row>
    <row r="57" ht="12.75" customHeight="1">
      <c r="M57" s="4"/>
      <c r="O57" s="4"/>
    </row>
    <row r="58" ht="12.75" customHeight="1">
      <c r="M58" s="4"/>
      <c r="O58" s="4"/>
    </row>
    <row r="59" ht="12.75" customHeight="1">
      <c r="M59" s="4"/>
      <c r="O59" s="4"/>
    </row>
    <row r="60" ht="12.75" customHeight="1">
      <c r="M60" s="4"/>
      <c r="O60" s="4"/>
    </row>
    <row r="61" ht="12.75" customHeight="1">
      <c r="M61" s="4"/>
      <c r="O61" s="4"/>
    </row>
    <row r="62" ht="12.75" customHeight="1">
      <c r="M62" s="4"/>
      <c r="O62" s="4"/>
    </row>
    <row r="63" ht="12.75" customHeight="1">
      <c r="M63" s="4"/>
      <c r="O63" s="4"/>
    </row>
    <row r="64" ht="12.75" customHeight="1">
      <c r="M64" s="4"/>
      <c r="O64" s="4"/>
    </row>
    <row r="65" ht="12.75" customHeight="1">
      <c r="M65" s="4"/>
      <c r="O65" s="4"/>
    </row>
    <row r="66" ht="12.75" customHeight="1">
      <c r="M66" s="4"/>
      <c r="O66" s="4"/>
    </row>
    <row r="67" ht="12.75" customHeight="1">
      <c r="M67" s="4"/>
      <c r="O67" s="4"/>
    </row>
    <row r="68" ht="12.75" customHeight="1">
      <c r="M68" s="4"/>
      <c r="O68" s="4"/>
    </row>
    <row r="69" ht="12.75" customHeight="1">
      <c r="M69" s="4"/>
      <c r="O69" s="4"/>
    </row>
    <row r="70" ht="12.75" customHeight="1">
      <c r="M70" s="4"/>
      <c r="O70" s="4"/>
    </row>
    <row r="71" ht="12.75" customHeight="1">
      <c r="M71" s="4"/>
      <c r="O71" s="4"/>
    </row>
    <row r="72" ht="12.75" customHeight="1">
      <c r="M72" s="4"/>
      <c r="O72" s="4"/>
    </row>
    <row r="73" ht="12.75" customHeight="1">
      <c r="M73" s="4"/>
      <c r="O73" s="4"/>
    </row>
    <row r="74" ht="12.75" customHeight="1">
      <c r="M74" s="4"/>
      <c r="O74" s="4"/>
    </row>
    <row r="75" ht="12.75" customHeight="1">
      <c r="M75" s="4"/>
      <c r="O75" s="4"/>
    </row>
    <row r="76" ht="12.75" customHeight="1">
      <c r="M76" s="4"/>
      <c r="O76" s="4"/>
    </row>
    <row r="77" ht="12.75" customHeight="1">
      <c r="M77" s="4"/>
      <c r="O77" s="4"/>
    </row>
    <row r="78" ht="12.75" customHeight="1">
      <c r="M78" s="4"/>
      <c r="O78" s="4"/>
    </row>
    <row r="79" ht="12.75" customHeight="1">
      <c r="M79" s="4"/>
      <c r="O79" s="4"/>
    </row>
    <row r="80" ht="12.75" customHeight="1">
      <c r="M80" s="4"/>
      <c r="O80" s="4"/>
    </row>
    <row r="81" ht="12.75" customHeight="1">
      <c r="M81" s="4"/>
      <c r="O81" s="4"/>
    </row>
    <row r="82" ht="12.75" customHeight="1">
      <c r="M82" s="4"/>
      <c r="O82" s="4"/>
    </row>
    <row r="83" ht="12.75" customHeight="1">
      <c r="M83" s="4"/>
      <c r="O83" s="4"/>
    </row>
    <row r="84" ht="12.75" customHeight="1">
      <c r="M84" s="4"/>
      <c r="O84" s="4"/>
    </row>
    <row r="85" ht="12.75" customHeight="1">
      <c r="M85" s="4"/>
      <c r="O85" s="4"/>
    </row>
    <row r="86" ht="12.75" customHeight="1">
      <c r="M86" s="4"/>
      <c r="O86" s="4"/>
    </row>
    <row r="87" ht="12.75" customHeight="1">
      <c r="M87" s="4"/>
      <c r="O87" s="4"/>
    </row>
    <row r="88" ht="12.75" customHeight="1">
      <c r="M88" s="4"/>
      <c r="O88" s="4"/>
    </row>
    <row r="89" ht="12.75" customHeight="1">
      <c r="M89" s="4"/>
      <c r="O89" s="4"/>
    </row>
    <row r="90" ht="12.75" customHeight="1">
      <c r="M90" s="4"/>
      <c r="O90" s="4"/>
    </row>
    <row r="91" ht="12.75" customHeight="1">
      <c r="M91" s="4"/>
      <c r="O91" s="4"/>
    </row>
    <row r="92" ht="12.75" customHeight="1">
      <c r="M92" s="4"/>
      <c r="O92" s="4"/>
    </row>
    <row r="93" ht="12.75" customHeight="1">
      <c r="M93" s="4"/>
      <c r="O93" s="4"/>
    </row>
    <row r="94" ht="12.75" customHeight="1">
      <c r="M94" s="4"/>
      <c r="O94" s="4"/>
    </row>
    <row r="95" ht="12.75" customHeight="1">
      <c r="M95" s="4"/>
      <c r="O95" s="4"/>
    </row>
    <row r="96" ht="12.75" customHeight="1">
      <c r="M96" s="4"/>
      <c r="O96" s="4"/>
    </row>
    <row r="97" ht="12.75" customHeight="1">
      <c r="M97" s="4"/>
      <c r="O97" s="4"/>
    </row>
    <row r="98" ht="12.75" customHeight="1">
      <c r="M98" s="4"/>
      <c r="O98" s="4"/>
    </row>
    <row r="99" ht="12.75" customHeight="1">
      <c r="M99" s="4"/>
      <c r="O99" s="4"/>
    </row>
    <row r="100" ht="12.75" customHeight="1">
      <c r="M100" s="4"/>
      <c r="O100" s="4"/>
    </row>
    <row r="101" ht="12.75" customHeight="1">
      <c r="M101" s="4"/>
      <c r="O101" s="4"/>
    </row>
    <row r="102" ht="12.75" customHeight="1">
      <c r="M102" s="4"/>
      <c r="O102" s="4"/>
    </row>
    <row r="103" ht="12.75" customHeight="1">
      <c r="M103" s="4"/>
      <c r="O103" s="4"/>
    </row>
    <row r="104" ht="12.75" customHeight="1">
      <c r="M104" s="4"/>
      <c r="O104" s="4"/>
    </row>
    <row r="105" ht="12.75" customHeight="1">
      <c r="M105" s="4"/>
      <c r="O105" s="4"/>
    </row>
    <row r="106" ht="12.75" customHeight="1">
      <c r="M106" s="4"/>
      <c r="O106" s="4"/>
    </row>
    <row r="107" ht="12.75" customHeight="1">
      <c r="M107" s="4"/>
      <c r="O107" s="4"/>
    </row>
    <row r="108" ht="12.75" customHeight="1">
      <c r="M108" s="4"/>
      <c r="O108" s="4"/>
    </row>
    <row r="109" ht="12.75" customHeight="1">
      <c r="M109" s="4"/>
      <c r="O109" s="4"/>
    </row>
    <row r="110" ht="12.75" customHeight="1">
      <c r="M110" s="4"/>
      <c r="O110" s="4"/>
    </row>
    <row r="111" ht="12.75" customHeight="1">
      <c r="M111" s="4"/>
      <c r="O111" s="4"/>
    </row>
    <row r="112" ht="12.75" customHeight="1">
      <c r="M112" s="4"/>
      <c r="O112" s="4"/>
    </row>
    <row r="113" ht="12.75" customHeight="1">
      <c r="M113" s="4"/>
      <c r="O113" s="4"/>
    </row>
    <row r="114" ht="12.75" customHeight="1">
      <c r="M114" s="4"/>
      <c r="O114" s="4"/>
    </row>
    <row r="115" ht="12.75" customHeight="1">
      <c r="M115" s="4"/>
      <c r="O115" s="4"/>
    </row>
    <row r="116" ht="12.75" customHeight="1">
      <c r="M116" s="4"/>
      <c r="O116" s="4"/>
    </row>
    <row r="117" ht="12.75" customHeight="1">
      <c r="M117" s="4"/>
      <c r="O117" s="4"/>
    </row>
    <row r="118" ht="12.75" customHeight="1">
      <c r="M118" s="4"/>
      <c r="O118" s="4"/>
    </row>
    <row r="119" ht="12.75" customHeight="1">
      <c r="M119" s="4"/>
      <c r="O119" s="4"/>
    </row>
    <row r="120" ht="12.75" customHeight="1">
      <c r="M120" s="4"/>
      <c r="O120" s="4"/>
    </row>
    <row r="121" ht="12.75" customHeight="1">
      <c r="M121" s="4"/>
      <c r="O121" s="4"/>
    </row>
    <row r="122" ht="12.75" customHeight="1">
      <c r="M122" s="4"/>
      <c r="O122" s="4"/>
    </row>
    <row r="123" ht="12.75" customHeight="1">
      <c r="M123" s="4"/>
      <c r="O123" s="4"/>
    </row>
    <row r="124" ht="12.75" customHeight="1">
      <c r="M124" s="4"/>
      <c r="O124" s="4"/>
    </row>
    <row r="125" ht="12.75" customHeight="1">
      <c r="M125" s="4"/>
      <c r="O125" s="4"/>
    </row>
    <row r="126" ht="12.75" customHeight="1">
      <c r="M126" s="4"/>
      <c r="O126" s="4"/>
    </row>
    <row r="127" ht="12.75" customHeight="1">
      <c r="M127" s="4"/>
      <c r="O127" s="4"/>
    </row>
    <row r="128" ht="12.75" customHeight="1">
      <c r="M128" s="4"/>
      <c r="O128" s="4"/>
    </row>
    <row r="129" ht="12.75" customHeight="1">
      <c r="M129" s="4"/>
      <c r="O129" s="4"/>
    </row>
    <row r="130" ht="12.75" customHeight="1">
      <c r="M130" s="4"/>
      <c r="O130" s="4"/>
    </row>
    <row r="131" ht="12.75" customHeight="1">
      <c r="M131" s="4"/>
      <c r="O131" s="4"/>
    </row>
    <row r="132" ht="12.75" customHeight="1">
      <c r="M132" s="4"/>
      <c r="O132" s="4"/>
    </row>
    <row r="133" ht="12.75" customHeight="1">
      <c r="M133" s="4"/>
      <c r="O133" s="4"/>
    </row>
    <row r="134" ht="12.75" customHeight="1">
      <c r="M134" s="4"/>
      <c r="O134" s="4"/>
    </row>
    <row r="135" ht="12.75" customHeight="1">
      <c r="M135" s="4"/>
      <c r="O135" s="4"/>
    </row>
    <row r="136" ht="12.75" customHeight="1">
      <c r="M136" s="4"/>
      <c r="O136" s="4"/>
    </row>
    <row r="137" ht="12.75" customHeight="1">
      <c r="M137" s="4"/>
      <c r="O137" s="4"/>
    </row>
    <row r="138" ht="12.75" customHeight="1">
      <c r="M138" s="4"/>
      <c r="O138" s="4"/>
    </row>
    <row r="139" ht="12.75" customHeight="1">
      <c r="M139" s="4"/>
      <c r="O139" s="4"/>
    </row>
    <row r="140" ht="12.75" customHeight="1">
      <c r="M140" s="4"/>
      <c r="O140" s="4"/>
    </row>
    <row r="141" ht="12.75" customHeight="1">
      <c r="M141" s="4"/>
      <c r="O141" s="4"/>
    </row>
    <row r="142" ht="12.75" customHeight="1">
      <c r="M142" s="4"/>
      <c r="O142" s="4"/>
    </row>
    <row r="143" ht="12.75" customHeight="1">
      <c r="M143" s="4"/>
      <c r="O143" s="4"/>
    </row>
    <row r="144" ht="12.75" customHeight="1">
      <c r="M144" s="4"/>
      <c r="O144" s="4"/>
    </row>
    <row r="145" ht="12.75" customHeight="1">
      <c r="M145" s="4"/>
      <c r="O145" s="4"/>
    </row>
    <row r="146" ht="12.75" customHeight="1">
      <c r="M146" s="4"/>
      <c r="O146" s="4"/>
    </row>
    <row r="147" ht="12.75" customHeight="1">
      <c r="M147" s="4"/>
      <c r="O147" s="4"/>
    </row>
    <row r="148" ht="12.75" customHeight="1">
      <c r="M148" s="4"/>
      <c r="O148" s="4"/>
    </row>
    <row r="149" ht="12.75" customHeight="1">
      <c r="M149" s="4"/>
      <c r="O149" s="4"/>
    </row>
    <row r="150" ht="12.75" customHeight="1">
      <c r="M150" s="4"/>
      <c r="O150" s="4"/>
    </row>
    <row r="151" ht="12.75" customHeight="1">
      <c r="M151" s="4"/>
      <c r="O151" s="4"/>
    </row>
    <row r="152" ht="12.75" customHeight="1">
      <c r="M152" s="4"/>
      <c r="O152" s="4"/>
    </row>
    <row r="153" ht="12.75" customHeight="1">
      <c r="M153" s="4"/>
      <c r="O153" s="4"/>
    </row>
    <row r="154" ht="12.75" customHeight="1">
      <c r="M154" s="4"/>
      <c r="O154" s="4"/>
    </row>
    <row r="155" ht="12.75" customHeight="1">
      <c r="M155" s="4"/>
      <c r="O155" s="4"/>
    </row>
    <row r="156" ht="12.75" customHeight="1">
      <c r="M156" s="4"/>
      <c r="O156" s="4"/>
    </row>
    <row r="157" ht="12.75" customHeight="1">
      <c r="M157" s="4"/>
      <c r="O157" s="4"/>
    </row>
    <row r="158" ht="12.75" customHeight="1">
      <c r="M158" s="4"/>
      <c r="O158" s="4"/>
    </row>
    <row r="159" ht="12.75" customHeight="1">
      <c r="M159" s="4"/>
      <c r="O159" s="4"/>
    </row>
    <row r="160" ht="12.75" customHeight="1">
      <c r="M160" s="4"/>
      <c r="O160" s="4"/>
    </row>
    <row r="161" ht="12.75" customHeight="1">
      <c r="M161" s="4"/>
      <c r="O161" s="4"/>
    </row>
    <row r="162" ht="12.75" customHeight="1">
      <c r="M162" s="4"/>
      <c r="O162" s="4"/>
    </row>
    <row r="163" ht="12.75" customHeight="1">
      <c r="M163" s="4"/>
      <c r="O163" s="4"/>
    </row>
    <row r="164" ht="12.75" customHeight="1">
      <c r="M164" s="4"/>
      <c r="O164" s="4"/>
    </row>
    <row r="165" ht="12.75" customHeight="1">
      <c r="M165" s="4"/>
      <c r="O165" s="4"/>
    </row>
    <row r="166" ht="12.75" customHeight="1">
      <c r="M166" s="4"/>
      <c r="O166" s="4"/>
    </row>
    <row r="167" ht="12.75" customHeight="1">
      <c r="M167" s="4"/>
      <c r="O167" s="4"/>
    </row>
    <row r="168" ht="12.75" customHeight="1">
      <c r="M168" s="4"/>
      <c r="O168" s="4"/>
    </row>
    <row r="169" ht="12.75" customHeight="1">
      <c r="M169" s="4"/>
      <c r="O169" s="4"/>
    </row>
    <row r="170" ht="12.75" customHeight="1">
      <c r="M170" s="4"/>
      <c r="O170" s="4"/>
    </row>
    <row r="171" ht="12.75" customHeight="1">
      <c r="M171" s="4"/>
      <c r="O171" s="4"/>
    </row>
    <row r="172" ht="12.75" customHeight="1">
      <c r="M172" s="4"/>
      <c r="O172" s="4"/>
    </row>
    <row r="173" ht="12.75" customHeight="1">
      <c r="M173" s="4"/>
      <c r="O173" s="4"/>
    </row>
    <row r="174" ht="12.75" customHeight="1">
      <c r="M174" s="4"/>
      <c r="O174" s="4"/>
    </row>
    <row r="175" ht="12.75" customHeight="1">
      <c r="M175" s="4"/>
      <c r="O175" s="4"/>
    </row>
    <row r="176" ht="12.75" customHeight="1">
      <c r="M176" s="4"/>
      <c r="O176" s="4"/>
    </row>
    <row r="177" ht="12.75" customHeight="1">
      <c r="M177" s="4"/>
      <c r="O177" s="4"/>
    </row>
    <row r="178" ht="12.75" customHeight="1">
      <c r="M178" s="4"/>
      <c r="O178" s="4"/>
    </row>
    <row r="179" ht="12.75" customHeight="1">
      <c r="M179" s="4"/>
      <c r="O179" s="4"/>
    </row>
    <row r="180" ht="12.75" customHeight="1">
      <c r="M180" s="4"/>
      <c r="O180" s="4"/>
    </row>
    <row r="181" ht="12.75" customHeight="1">
      <c r="M181" s="4"/>
      <c r="O181" s="4"/>
    </row>
    <row r="182" ht="12.75" customHeight="1">
      <c r="M182" s="4"/>
      <c r="O182" s="4"/>
    </row>
    <row r="183" ht="12.75" customHeight="1">
      <c r="M183" s="4"/>
      <c r="O183" s="4"/>
    </row>
    <row r="184" ht="12.75" customHeight="1">
      <c r="M184" s="4"/>
      <c r="O184" s="4"/>
    </row>
    <row r="185" ht="12.75" customHeight="1">
      <c r="M185" s="4"/>
      <c r="O185" s="4"/>
    </row>
    <row r="186" ht="12.75" customHeight="1">
      <c r="M186" s="4"/>
      <c r="O186" s="4"/>
    </row>
    <row r="187" ht="12.75" customHeight="1">
      <c r="M187" s="4"/>
      <c r="O187" s="4"/>
    </row>
    <row r="188" ht="12.75" customHeight="1">
      <c r="M188" s="4"/>
      <c r="O188" s="4"/>
    </row>
    <row r="189" ht="12.75" customHeight="1">
      <c r="M189" s="4"/>
      <c r="O189" s="4"/>
    </row>
    <row r="190" ht="12.75" customHeight="1">
      <c r="M190" s="4"/>
      <c r="O190" s="4"/>
    </row>
    <row r="191" ht="12.75" customHeight="1">
      <c r="M191" s="4"/>
      <c r="O191" s="4"/>
    </row>
    <row r="192" ht="12.75" customHeight="1">
      <c r="M192" s="4"/>
      <c r="O192" s="4"/>
    </row>
    <row r="193" ht="12.75" customHeight="1">
      <c r="M193" s="4"/>
      <c r="O193" s="4"/>
    </row>
    <row r="194" ht="12.75" customHeight="1">
      <c r="M194" s="4"/>
      <c r="O194" s="4"/>
    </row>
    <row r="195" ht="12.75" customHeight="1">
      <c r="M195" s="4"/>
      <c r="O195" s="4"/>
    </row>
    <row r="196" ht="12.75" customHeight="1">
      <c r="M196" s="4"/>
      <c r="O196" s="4"/>
    </row>
    <row r="197" ht="12.75" customHeight="1">
      <c r="M197" s="4"/>
      <c r="O197" s="4"/>
    </row>
    <row r="198" ht="12.75" customHeight="1">
      <c r="M198" s="4"/>
      <c r="O198" s="4"/>
    </row>
    <row r="199" ht="12.75" customHeight="1">
      <c r="M199" s="4"/>
      <c r="O199" s="4"/>
    </row>
    <row r="200" ht="12.75" customHeight="1">
      <c r="M200" s="4"/>
      <c r="O200" s="4"/>
    </row>
    <row r="201" ht="12.75" customHeight="1">
      <c r="M201" s="4"/>
      <c r="O201" s="4"/>
    </row>
    <row r="202" ht="12.75" customHeight="1">
      <c r="M202" s="4"/>
      <c r="O202" s="4"/>
    </row>
    <row r="203" ht="12.75" customHeight="1">
      <c r="M203" s="4"/>
      <c r="O203" s="4"/>
    </row>
    <row r="204" ht="12.75" customHeight="1">
      <c r="M204" s="4"/>
      <c r="O204" s="4"/>
    </row>
    <row r="205" ht="12.75" customHeight="1">
      <c r="M205" s="4"/>
      <c r="O205" s="4"/>
    </row>
    <row r="206" ht="12.75" customHeight="1">
      <c r="M206" s="4"/>
      <c r="O206" s="4"/>
    </row>
    <row r="207" ht="12.75" customHeight="1">
      <c r="M207" s="4"/>
      <c r="O207" s="4"/>
    </row>
    <row r="208" ht="12.75" customHeight="1">
      <c r="M208" s="4"/>
      <c r="O208" s="4"/>
    </row>
    <row r="209" ht="12.75" customHeight="1">
      <c r="M209" s="4"/>
      <c r="O209" s="4"/>
    </row>
    <row r="210" ht="12.75" customHeight="1">
      <c r="M210" s="4"/>
      <c r="O210" s="4"/>
    </row>
    <row r="211" ht="12.75" customHeight="1">
      <c r="M211" s="4"/>
      <c r="O211" s="4"/>
    </row>
    <row r="212" ht="12.75" customHeight="1">
      <c r="M212" s="4"/>
      <c r="O212" s="4"/>
    </row>
    <row r="213" ht="12.75" customHeight="1">
      <c r="M213" s="4"/>
      <c r="O213" s="4"/>
    </row>
    <row r="214" ht="12.75" customHeight="1">
      <c r="M214" s="4"/>
      <c r="O214" s="4"/>
    </row>
    <row r="215" ht="12.75" customHeight="1">
      <c r="M215" s="4"/>
      <c r="O215" s="4"/>
    </row>
    <row r="216" ht="12.75" customHeight="1">
      <c r="M216" s="4"/>
      <c r="O216" s="4"/>
    </row>
    <row r="217" ht="12.75" customHeight="1">
      <c r="M217" s="4"/>
      <c r="O217" s="4"/>
    </row>
    <row r="218" ht="12.75" customHeight="1">
      <c r="M218" s="4"/>
      <c r="O218" s="4"/>
    </row>
    <row r="219" ht="12.75" customHeight="1">
      <c r="M219" s="4"/>
      <c r="O219" s="4"/>
    </row>
    <row r="220" ht="12.75" customHeight="1">
      <c r="M220" s="4"/>
      <c r="O220" s="4"/>
    </row>
    <row r="221" ht="12.75" customHeight="1">
      <c r="M221" s="4"/>
      <c r="O221" s="4"/>
    </row>
    <row r="222" ht="12.75" customHeight="1">
      <c r="M222" s="4"/>
      <c r="O222" s="4"/>
    </row>
    <row r="223" ht="12.75" customHeight="1">
      <c r="M223" s="4"/>
      <c r="O223" s="4"/>
    </row>
    <row r="224" ht="12.75" customHeight="1">
      <c r="M224" s="4"/>
      <c r="O224" s="4"/>
    </row>
    <row r="225" ht="12.75" customHeight="1">
      <c r="M225" s="4"/>
      <c r="O225" s="4"/>
    </row>
    <row r="226" ht="12.75" customHeight="1">
      <c r="M226" s="4"/>
      <c r="O226" s="4"/>
    </row>
    <row r="227" ht="12.75" customHeight="1">
      <c r="M227" s="4"/>
      <c r="O227" s="4"/>
    </row>
    <row r="228" ht="12.75" customHeight="1">
      <c r="M228" s="4"/>
      <c r="O228" s="4"/>
    </row>
    <row r="229" ht="12.75" customHeight="1">
      <c r="M229" s="4"/>
      <c r="O229" s="4"/>
    </row>
    <row r="230" ht="12.75" customHeight="1">
      <c r="M230" s="4"/>
      <c r="O230" s="4"/>
    </row>
    <row r="231" ht="12.75" customHeight="1">
      <c r="M231" s="4"/>
      <c r="O231" s="4"/>
    </row>
    <row r="232" ht="12.75" customHeight="1">
      <c r="M232" s="4"/>
      <c r="O232" s="4"/>
    </row>
    <row r="233" ht="12.75" customHeight="1">
      <c r="M233" s="4"/>
      <c r="O233" s="4"/>
    </row>
    <row r="234" ht="12.75" customHeight="1">
      <c r="M234" s="4"/>
      <c r="O234" s="4"/>
    </row>
    <row r="235" ht="12.75" customHeight="1">
      <c r="M235" s="4"/>
      <c r="O235" s="4"/>
    </row>
    <row r="236" ht="12.75" customHeight="1">
      <c r="M236" s="4"/>
      <c r="O236" s="4"/>
    </row>
    <row r="237" ht="12.75" customHeight="1">
      <c r="M237" s="4"/>
      <c r="O237" s="4"/>
    </row>
    <row r="238" ht="12.75" customHeight="1">
      <c r="M238" s="4"/>
      <c r="O238" s="4"/>
    </row>
    <row r="239" ht="12.75" customHeight="1">
      <c r="M239" s="4"/>
      <c r="O239" s="4"/>
    </row>
    <row r="240" ht="12.75" customHeight="1">
      <c r="M240" s="4"/>
      <c r="O240" s="4"/>
    </row>
    <row r="241" ht="12.75" customHeight="1">
      <c r="M241" s="4"/>
      <c r="O241" s="4"/>
    </row>
    <row r="242" ht="12.75" customHeight="1">
      <c r="M242" s="4"/>
      <c r="O242" s="4"/>
    </row>
    <row r="243" ht="12.75" customHeight="1">
      <c r="M243" s="4"/>
      <c r="O243" s="4"/>
    </row>
    <row r="244" ht="12.75" customHeight="1">
      <c r="M244" s="4"/>
      <c r="O244" s="4"/>
    </row>
    <row r="245" ht="12.75" customHeight="1">
      <c r="M245" s="4"/>
      <c r="O245" s="4"/>
    </row>
    <row r="246" ht="12.75" customHeight="1">
      <c r="M246" s="4"/>
      <c r="O246" s="4"/>
    </row>
    <row r="247" ht="12.75" customHeight="1">
      <c r="M247" s="4"/>
      <c r="O247" s="4"/>
    </row>
    <row r="248" ht="12.75" customHeight="1">
      <c r="M248" s="4"/>
      <c r="O248" s="4"/>
    </row>
    <row r="249" ht="12.75" customHeight="1">
      <c r="M249" s="4"/>
      <c r="O249" s="4"/>
    </row>
    <row r="250" ht="12.75" customHeight="1">
      <c r="M250" s="4"/>
      <c r="O250" s="4"/>
    </row>
    <row r="251" ht="12.75" customHeight="1">
      <c r="M251" s="4"/>
      <c r="O251" s="4"/>
    </row>
    <row r="252" ht="12.75" customHeight="1">
      <c r="M252" s="4"/>
      <c r="O252" s="4"/>
    </row>
    <row r="253" ht="12.75" customHeight="1">
      <c r="M253" s="4"/>
      <c r="O253" s="4"/>
    </row>
    <row r="254" ht="12.75" customHeight="1">
      <c r="M254" s="4"/>
      <c r="O254" s="4"/>
    </row>
    <row r="255" ht="12.75" customHeight="1">
      <c r="M255" s="4"/>
      <c r="O255" s="4"/>
    </row>
    <row r="256" ht="12.75" customHeight="1">
      <c r="M256" s="4"/>
      <c r="O256" s="4"/>
    </row>
    <row r="257" ht="12.75" customHeight="1">
      <c r="M257" s="4"/>
      <c r="O257" s="4"/>
    </row>
    <row r="258" ht="12.75" customHeight="1">
      <c r="M258" s="4"/>
      <c r="O258" s="4"/>
    </row>
    <row r="259" ht="12.75" customHeight="1">
      <c r="M259" s="4"/>
      <c r="O259" s="4"/>
    </row>
    <row r="260" ht="12.75" customHeight="1">
      <c r="M260" s="4"/>
      <c r="O260" s="4"/>
    </row>
    <row r="261" ht="12.75" customHeight="1">
      <c r="M261" s="4"/>
      <c r="O261" s="4"/>
    </row>
    <row r="262" ht="12.75" customHeight="1">
      <c r="M262" s="4"/>
      <c r="O262" s="4"/>
    </row>
    <row r="263" ht="12.75" customHeight="1">
      <c r="M263" s="4"/>
      <c r="O263" s="4"/>
    </row>
    <row r="264" ht="12.75" customHeight="1">
      <c r="M264" s="4"/>
      <c r="O264" s="4"/>
    </row>
    <row r="265" ht="12.75" customHeight="1">
      <c r="M265" s="4"/>
      <c r="O265" s="4"/>
    </row>
    <row r="266" ht="12.75" customHeight="1">
      <c r="M266" s="4"/>
      <c r="O266" s="4"/>
    </row>
    <row r="267" ht="12.75" customHeight="1">
      <c r="M267" s="4"/>
      <c r="O267" s="4"/>
    </row>
    <row r="268" ht="12.75" customHeight="1">
      <c r="M268" s="4"/>
      <c r="O268" s="4"/>
    </row>
    <row r="269" ht="12.75" customHeight="1">
      <c r="M269" s="4"/>
      <c r="O269" s="4"/>
    </row>
    <row r="270" ht="12.75" customHeight="1">
      <c r="M270" s="4"/>
      <c r="O270" s="4"/>
    </row>
    <row r="271" ht="12.75" customHeight="1">
      <c r="M271" s="4"/>
      <c r="O271" s="4"/>
    </row>
    <row r="272" ht="12.75" customHeight="1">
      <c r="M272" s="4"/>
      <c r="O272" s="4"/>
    </row>
    <row r="273" ht="12.75" customHeight="1">
      <c r="M273" s="4"/>
      <c r="O273" s="4"/>
    </row>
    <row r="274" ht="12.75" customHeight="1">
      <c r="M274" s="4"/>
      <c r="O274" s="4"/>
    </row>
    <row r="275" ht="12.75" customHeight="1">
      <c r="M275" s="4"/>
      <c r="O275" s="4"/>
    </row>
    <row r="276" ht="12.75" customHeight="1">
      <c r="M276" s="4"/>
      <c r="O276" s="4"/>
    </row>
    <row r="277" ht="12.75" customHeight="1">
      <c r="M277" s="4"/>
      <c r="O277" s="4"/>
    </row>
    <row r="278" ht="12.75" customHeight="1">
      <c r="M278" s="4"/>
      <c r="O278" s="4"/>
    </row>
    <row r="279" ht="12.75" customHeight="1">
      <c r="M279" s="4"/>
      <c r="O279" s="4"/>
    </row>
    <row r="280" ht="12.75" customHeight="1">
      <c r="M280" s="4"/>
      <c r="O280" s="4"/>
    </row>
    <row r="281" ht="12.75" customHeight="1">
      <c r="M281" s="4"/>
      <c r="O281" s="4"/>
    </row>
    <row r="282" ht="12.75" customHeight="1">
      <c r="M282" s="4"/>
      <c r="O282" s="4"/>
    </row>
    <row r="283" ht="12.75" customHeight="1">
      <c r="M283" s="4"/>
      <c r="O283" s="4"/>
    </row>
    <row r="284" ht="12.75" customHeight="1">
      <c r="M284" s="4"/>
      <c r="O284" s="4"/>
    </row>
    <row r="285" ht="12.75" customHeight="1">
      <c r="M285" s="4"/>
      <c r="O285" s="4"/>
    </row>
    <row r="286" ht="12.75" customHeight="1">
      <c r="M286" s="4"/>
      <c r="O286" s="4"/>
    </row>
    <row r="287" ht="12.75" customHeight="1">
      <c r="M287" s="4"/>
      <c r="O287" s="4"/>
    </row>
    <row r="288" ht="12.75" customHeight="1">
      <c r="M288" s="4"/>
      <c r="O288" s="4"/>
    </row>
    <row r="289" ht="12.75" customHeight="1">
      <c r="M289" s="4"/>
      <c r="O289" s="4"/>
    </row>
    <row r="290" ht="12.75" customHeight="1">
      <c r="M290" s="4"/>
      <c r="O290" s="4"/>
    </row>
    <row r="291" ht="12.75" customHeight="1">
      <c r="M291" s="4"/>
      <c r="O291" s="4"/>
    </row>
    <row r="292" ht="12.75" customHeight="1">
      <c r="M292" s="4"/>
      <c r="O292" s="4"/>
    </row>
    <row r="293" ht="12.75" customHeight="1">
      <c r="M293" s="4"/>
      <c r="O293" s="4"/>
    </row>
    <row r="294" ht="12.75" customHeight="1">
      <c r="M294" s="4"/>
      <c r="O294" s="4"/>
    </row>
    <row r="295" ht="12.75" customHeight="1">
      <c r="M295" s="4"/>
      <c r="O295" s="4"/>
    </row>
    <row r="296" ht="12.75" customHeight="1">
      <c r="M296" s="4"/>
      <c r="O296" s="4"/>
    </row>
    <row r="297" ht="12.75" customHeight="1">
      <c r="M297" s="4"/>
      <c r="O297" s="4"/>
    </row>
    <row r="298" ht="12.75" customHeight="1">
      <c r="M298" s="4"/>
      <c r="O298" s="4"/>
    </row>
    <row r="299" ht="12.75" customHeight="1">
      <c r="M299" s="4"/>
      <c r="O299" s="4"/>
    </row>
    <row r="300" ht="12.75" customHeight="1">
      <c r="M300" s="4"/>
      <c r="O300" s="4"/>
    </row>
    <row r="301" ht="12.75" customHeight="1">
      <c r="M301" s="4"/>
      <c r="O301" s="4"/>
    </row>
    <row r="302" ht="12.75" customHeight="1">
      <c r="M302" s="4"/>
      <c r="O302" s="4"/>
    </row>
    <row r="303" ht="12.75" customHeight="1">
      <c r="M303" s="4"/>
      <c r="O303" s="4"/>
    </row>
    <row r="304" ht="12.75" customHeight="1">
      <c r="M304" s="4"/>
      <c r="O304" s="4"/>
    </row>
    <row r="305" ht="12.75" customHeight="1">
      <c r="M305" s="4"/>
      <c r="O305" s="4"/>
    </row>
    <row r="306" ht="12.75" customHeight="1">
      <c r="M306" s="4"/>
      <c r="O306" s="4"/>
    </row>
    <row r="307" ht="12.75" customHeight="1">
      <c r="M307" s="4"/>
      <c r="O307" s="4"/>
    </row>
    <row r="308" ht="12.75" customHeight="1">
      <c r="M308" s="4"/>
      <c r="O308" s="4"/>
    </row>
    <row r="309" ht="12.75" customHeight="1">
      <c r="M309" s="4"/>
      <c r="O309" s="4"/>
    </row>
    <row r="310" ht="12.75" customHeight="1">
      <c r="M310" s="4"/>
      <c r="O310" s="4"/>
    </row>
    <row r="311" ht="12.75" customHeight="1">
      <c r="M311" s="4"/>
      <c r="O311" s="4"/>
    </row>
    <row r="312" ht="12.75" customHeight="1">
      <c r="M312" s="4"/>
      <c r="O312" s="4"/>
    </row>
    <row r="313" ht="12.75" customHeight="1">
      <c r="M313" s="4"/>
      <c r="O313" s="4"/>
    </row>
    <row r="314" ht="12.75" customHeight="1">
      <c r="M314" s="4"/>
      <c r="O314" s="4"/>
    </row>
    <row r="315" ht="12.75" customHeight="1">
      <c r="M315" s="4"/>
      <c r="O315" s="4"/>
    </row>
    <row r="316" ht="12.75" customHeight="1">
      <c r="M316" s="4"/>
      <c r="O316" s="4"/>
    </row>
    <row r="317" ht="12.75" customHeight="1">
      <c r="M317" s="4"/>
      <c r="O317" s="4"/>
    </row>
    <row r="318" ht="12.75" customHeight="1">
      <c r="M318" s="4"/>
      <c r="O318" s="4"/>
    </row>
    <row r="319" ht="12.75" customHeight="1">
      <c r="M319" s="4"/>
      <c r="O319" s="4"/>
    </row>
    <row r="320" ht="12.75" customHeight="1">
      <c r="M320" s="4"/>
      <c r="O320" s="4"/>
    </row>
    <row r="321" ht="12.75" customHeight="1">
      <c r="M321" s="4"/>
      <c r="O321" s="4"/>
    </row>
    <row r="322" ht="12.75" customHeight="1">
      <c r="M322" s="4"/>
      <c r="O322" s="4"/>
    </row>
    <row r="323" ht="12.75" customHeight="1">
      <c r="M323" s="4"/>
      <c r="O323" s="4"/>
    </row>
    <row r="324" ht="12.75" customHeight="1">
      <c r="M324" s="4"/>
      <c r="O324" s="4"/>
    </row>
    <row r="325" ht="12.75" customHeight="1">
      <c r="M325" s="4"/>
      <c r="O325" s="4"/>
    </row>
    <row r="326" ht="12.75" customHeight="1">
      <c r="M326" s="4"/>
      <c r="O326" s="4"/>
    </row>
    <row r="327" ht="12.75" customHeight="1">
      <c r="M327" s="4"/>
      <c r="O327" s="4"/>
    </row>
    <row r="328" ht="12.75" customHeight="1">
      <c r="M328" s="4"/>
      <c r="O328" s="4"/>
    </row>
    <row r="329" ht="12.75" customHeight="1">
      <c r="M329" s="4"/>
      <c r="O329" s="4"/>
    </row>
    <row r="330" ht="12.75" customHeight="1">
      <c r="M330" s="4"/>
      <c r="O330" s="4"/>
    </row>
    <row r="331" ht="12.75" customHeight="1">
      <c r="M331" s="4"/>
      <c r="O331" s="4"/>
    </row>
    <row r="332" ht="12.75" customHeight="1">
      <c r="M332" s="4"/>
      <c r="O332" s="4"/>
    </row>
    <row r="333" ht="12.75" customHeight="1">
      <c r="M333" s="4"/>
      <c r="O333" s="4"/>
    </row>
    <row r="334" ht="12.75" customHeight="1">
      <c r="M334" s="4"/>
      <c r="O334" s="4"/>
    </row>
    <row r="335" ht="12.75" customHeight="1">
      <c r="M335" s="4"/>
      <c r="O335" s="4"/>
    </row>
    <row r="336" ht="12.75" customHeight="1">
      <c r="M336" s="4"/>
      <c r="O336" s="4"/>
    </row>
    <row r="337" ht="12.75" customHeight="1">
      <c r="M337" s="4"/>
      <c r="O337" s="4"/>
    </row>
    <row r="338" ht="12.75" customHeight="1">
      <c r="M338" s="4"/>
      <c r="O338" s="4"/>
    </row>
    <row r="339" ht="12.75" customHeight="1">
      <c r="M339" s="4"/>
      <c r="O339" s="4"/>
    </row>
    <row r="340" ht="12.75" customHeight="1">
      <c r="M340" s="4"/>
      <c r="O340" s="4"/>
    </row>
    <row r="341" ht="12.75" customHeight="1">
      <c r="M341" s="4"/>
      <c r="O341" s="4"/>
    </row>
    <row r="342" ht="12.75" customHeight="1">
      <c r="M342" s="4"/>
      <c r="O342" s="4"/>
    </row>
    <row r="343" ht="12.75" customHeight="1">
      <c r="M343" s="4"/>
      <c r="O343" s="4"/>
    </row>
    <row r="344" ht="12.75" customHeight="1">
      <c r="M344" s="4"/>
      <c r="O344" s="4"/>
    </row>
    <row r="345" ht="12.75" customHeight="1">
      <c r="M345" s="4"/>
      <c r="O345" s="4"/>
    </row>
    <row r="346" ht="12.75" customHeight="1">
      <c r="M346" s="4"/>
      <c r="O346" s="4"/>
    </row>
    <row r="347" ht="12.75" customHeight="1">
      <c r="M347" s="4"/>
      <c r="O347" s="4"/>
    </row>
    <row r="348" ht="12.75" customHeight="1">
      <c r="M348" s="4"/>
      <c r="O348" s="4"/>
    </row>
    <row r="349" ht="12.75" customHeight="1">
      <c r="M349" s="4"/>
      <c r="O349" s="4"/>
    </row>
    <row r="350" ht="12.75" customHeight="1">
      <c r="M350" s="4"/>
      <c r="O350" s="4"/>
    </row>
    <row r="351" ht="12.75" customHeight="1">
      <c r="M351" s="4"/>
      <c r="O351" s="4"/>
    </row>
    <row r="352" ht="12.75" customHeight="1">
      <c r="M352" s="4"/>
      <c r="O352" s="4"/>
    </row>
    <row r="353" ht="12.75" customHeight="1">
      <c r="M353" s="4"/>
      <c r="O353" s="4"/>
    </row>
    <row r="354" ht="12.75" customHeight="1">
      <c r="M354" s="4"/>
      <c r="O354" s="4"/>
    </row>
    <row r="355" ht="12.75" customHeight="1">
      <c r="M355" s="4"/>
      <c r="O355" s="4"/>
    </row>
    <row r="356" ht="12.75" customHeight="1">
      <c r="M356" s="4"/>
      <c r="O356" s="4"/>
    </row>
    <row r="357" ht="12.75" customHeight="1">
      <c r="M357" s="4"/>
      <c r="O357" s="4"/>
    </row>
    <row r="358" ht="12.75" customHeight="1">
      <c r="M358" s="4"/>
      <c r="O358" s="4"/>
    </row>
    <row r="359" ht="12.75" customHeight="1">
      <c r="M359" s="4"/>
      <c r="O359" s="4"/>
    </row>
    <row r="360" ht="12.75" customHeight="1">
      <c r="M360" s="4"/>
      <c r="O360" s="4"/>
    </row>
    <row r="361" ht="12.75" customHeight="1">
      <c r="M361" s="4"/>
      <c r="O361" s="4"/>
    </row>
    <row r="362" ht="12.75" customHeight="1">
      <c r="M362" s="4"/>
      <c r="O362" s="4"/>
    </row>
    <row r="363" ht="12.75" customHeight="1">
      <c r="M363" s="4"/>
      <c r="O363" s="4"/>
    </row>
    <row r="364" ht="12.75" customHeight="1">
      <c r="M364" s="4"/>
      <c r="O364" s="4"/>
    </row>
    <row r="365" ht="12.75" customHeight="1">
      <c r="M365" s="4"/>
      <c r="O365" s="4"/>
    </row>
    <row r="366" ht="12.75" customHeight="1">
      <c r="M366" s="4"/>
      <c r="O366" s="4"/>
    </row>
    <row r="367" ht="12.75" customHeight="1">
      <c r="M367" s="4"/>
      <c r="O367" s="4"/>
    </row>
    <row r="368" ht="12.75" customHeight="1">
      <c r="M368" s="4"/>
      <c r="O368" s="4"/>
    </row>
    <row r="369" ht="12.75" customHeight="1">
      <c r="M369" s="4"/>
      <c r="O369" s="4"/>
    </row>
    <row r="370" ht="12.75" customHeight="1">
      <c r="M370" s="4"/>
      <c r="O370" s="4"/>
    </row>
    <row r="371" ht="12.75" customHeight="1">
      <c r="M371" s="4"/>
      <c r="O371" s="4"/>
    </row>
    <row r="372" ht="12.75" customHeight="1">
      <c r="M372" s="4"/>
      <c r="O372" s="4"/>
    </row>
    <row r="373" ht="12.75" customHeight="1">
      <c r="M373" s="4"/>
      <c r="O373" s="4"/>
    </row>
    <row r="374" ht="12.75" customHeight="1">
      <c r="M374" s="4"/>
      <c r="O374" s="4"/>
    </row>
    <row r="375" ht="12.75" customHeight="1">
      <c r="M375" s="4"/>
      <c r="O375" s="4"/>
    </row>
    <row r="376" ht="12.75" customHeight="1">
      <c r="M376" s="4"/>
      <c r="O376" s="4"/>
    </row>
    <row r="377" ht="12.75" customHeight="1">
      <c r="M377" s="4"/>
      <c r="O377" s="4"/>
    </row>
    <row r="378" ht="12.75" customHeight="1">
      <c r="M378" s="4"/>
      <c r="O378" s="4"/>
    </row>
    <row r="379" ht="12.75" customHeight="1">
      <c r="M379" s="4"/>
      <c r="O379" s="4"/>
    </row>
    <row r="380" ht="12.75" customHeight="1">
      <c r="M380" s="4"/>
      <c r="O380" s="4"/>
    </row>
    <row r="381" ht="12.75" customHeight="1">
      <c r="M381" s="4"/>
      <c r="O381" s="4"/>
    </row>
    <row r="382" ht="12.75" customHeight="1">
      <c r="M382" s="4"/>
      <c r="O382" s="4"/>
    </row>
    <row r="383" ht="12.75" customHeight="1">
      <c r="M383" s="4"/>
      <c r="O383" s="4"/>
    </row>
    <row r="384" ht="12.75" customHeight="1">
      <c r="M384" s="4"/>
      <c r="O384" s="4"/>
    </row>
    <row r="385" ht="12.75" customHeight="1">
      <c r="M385" s="4"/>
      <c r="O385" s="4"/>
    </row>
    <row r="386" ht="12.75" customHeight="1">
      <c r="M386" s="4"/>
      <c r="O386" s="4"/>
    </row>
    <row r="387" ht="12.75" customHeight="1">
      <c r="M387" s="4"/>
      <c r="O387" s="4"/>
    </row>
    <row r="388" ht="12.75" customHeight="1">
      <c r="M388" s="4"/>
      <c r="O388" s="4"/>
    </row>
    <row r="389" ht="12.75" customHeight="1">
      <c r="M389" s="4"/>
      <c r="O389" s="4"/>
    </row>
    <row r="390" ht="12.75" customHeight="1">
      <c r="M390" s="4"/>
      <c r="O390" s="4"/>
    </row>
    <row r="391" ht="12.75" customHeight="1">
      <c r="M391" s="4"/>
      <c r="O391" s="4"/>
    </row>
    <row r="392" ht="12.75" customHeight="1">
      <c r="M392" s="4"/>
      <c r="O392" s="4"/>
    </row>
    <row r="393" ht="12.75" customHeight="1">
      <c r="M393" s="4"/>
      <c r="O393" s="4"/>
    </row>
    <row r="394" ht="12.75" customHeight="1">
      <c r="M394" s="4"/>
      <c r="O394" s="4"/>
    </row>
    <row r="395" ht="12.75" customHeight="1">
      <c r="M395" s="4"/>
      <c r="O395" s="4"/>
    </row>
    <row r="396" ht="12.75" customHeight="1">
      <c r="M396" s="4"/>
      <c r="O396" s="4"/>
    </row>
    <row r="397" ht="12.75" customHeight="1">
      <c r="M397" s="4"/>
      <c r="O397" s="4"/>
    </row>
    <row r="398" ht="12.75" customHeight="1">
      <c r="M398" s="4"/>
      <c r="O398" s="4"/>
    </row>
    <row r="399" ht="12.75" customHeight="1">
      <c r="M399" s="4"/>
      <c r="O399" s="4"/>
    </row>
    <row r="400" ht="12.75" customHeight="1">
      <c r="M400" s="4"/>
      <c r="O400" s="4"/>
    </row>
    <row r="401" ht="12.75" customHeight="1">
      <c r="M401" s="4"/>
      <c r="O401" s="4"/>
    </row>
    <row r="402" ht="12.75" customHeight="1">
      <c r="M402" s="4"/>
      <c r="O402" s="4"/>
    </row>
    <row r="403" ht="12.75" customHeight="1">
      <c r="M403" s="4"/>
      <c r="O403" s="4"/>
    </row>
    <row r="404" ht="12.75" customHeight="1">
      <c r="M404" s="4"/>
      <c r="O404" s="4"/>
    </row>
    <row r="405" ht="12.75" customHeight="1">
      <c r="M405" s="4"/>
      <c r="O405" s="4"/>
    </row>
    <row r="406" ht="12.75" customHeight="1">
      <c r="M406" s="4"/>
      <c r="O406" s="4"/>
    </row>
    <row r="407" ht="12.75" customHeight="1">
      <c r="M407" s="4"/>
      <c r="O407" s="4"/>
    </row>
    <row r="408" ht="12.75" customHeight="1">
      <c r="M408" s="4"/>
      <c r="O408" s="4"/>
    </row>
    <row r="409" ht="12.75" customHeight="1">
      <c r="M409" s="4"/>
      <c r="O409" s="4"/>
    </row>
    <row r="410" ht="12.75" customHeight="1">
      <c r="M410" s="4"/>
      <c r="O410" s="4"/>
    </row>
    <row r="411" ht="12.75" customHeight="1">
      <c r="M411" s="4"/>
      <c r="O411" s="4"/>
    </row>
    <row r="412" ht="12.75" customHeight="1">
      <c r="M412" s="4"/>
      <c r="O412" s="4"/>
    </row>
    <row r="413" ht="12.75" customHeight="1">
      <c r="M413" s="4"/>
      <c r="O413" s="4"/>
    </row>
    <row r="414" ht="12.75" customHeight="1">
      <c r="M414" s="4"/>
      <c r="O414" s="4"/>
    </row>
    <row r="415" ht="12.75" customHeight="1">
      <c r="M415" s="4"/>
      <c r="O415" s="4"/>
    </row>
    <row r="416" ht="12.75" customHeight="1">
      <c r="M416" s="4"/>
      <c r="O416" s="4"/>
    </row>
    <row r="417" ht="12.75" customHeight="1">
      <c r="M417" s="4"/>
      <c r="O417" s="4"/>
    </row>
    <row r="418" ht="12.75" customHeight="1">
      <c r="M418" s="4"/>
      <c r="O418" s="4"/>
    </row>
    <row r="419" ht="12.75" customHeight="1">
      <c r="M419" s="4"/>
      <c r="O419" s="4"/>
    </row>
    <row r="420" ht="12.75" customHeight="1">
      <c r="M420" s="4"/>
      <c r="O420" s="4"/>
    </row>
    <row r="421" ht="12.75" customHeight="1">
      <c r="M421" s="4"/>
      <c r="O421" s="4"/>
    </row>
    <row r="422" ht="12.75" customHeight="1">
      <c r="M422" s="4"/>
      <c r="O422" s="4"/>
    </row>
    <row r="423" ht="12.75" customHeight="1">
      <c r="M423" s="4"/>
      <c r="O423" s="4"/>
    </row>
    <row r="424" ht="12.75" customHeight="1">
      <c r="M424" s="4"/>
      <c r="O424" s="4"/>
    </row>
    <row r="425" ht="12.75" customHeight="1">
      <c r="M425" s="4"/>
      <c r="O425" s="4"/>
    </row>
    <row r="426" ht="12.75" customHeight="1">
      <c r="M426" s="4"/>
      <c r="O426" s="4"/>
    </row>
    <row r="427" ht="12.75" customHeight="1">
      <c r="M427" s="4"/>
      <c r="O427" s="4"/>
    </row>
    <row r="428" ht="12.75" customHeight="1">
      <c r="M428" s="4"/>
      <c r="O428" s="4"/>
    </row>
    <row r="429" ht="12.75" customHeight="1">
      <c r="M429" s="4"/>
      <c r="O429" s="4"/>
    </row>
    <row r="430" ht="12.75" customHeight="1">
      <c r="M430" s="4"/>
      <c r="O430" s="4"/>
    </row>
    <row r="431" ht="12.75" customHeight="1">
      <c r="M431" s="4"/>
      <c r="O431" s="4"/>
    </row>
    <row r="432" ht="12.75" customHeight="1">
      <c r="M432" s="4"/>
      <c r="O432" s="4"/>
    </row>
    <row r="433" ht="12.75" customHeight="1">
      <c r="M433" s="4"/>
      <c r="O433" s="4"/>
    </row>
    <row r="434" ht="12.75" customHeight="1">
      <c r="M434" s="4"/>
      <c r="O434" s="4"/>
    </row>
    <row r="435" ht="12.75" customHeight="1">
      <c r="M435" s="4"/>
      <c r="O435" s="4"/>
    </row>
    <row r="436" ht="12.75" customHeight="1">
      <c r="M436" s="4"/>
      <c r="O436" s="4"/>
    </row>
    <row r="437" ht="12.75" customHeight="1">
      <c r="M437" s="4"/>
      <c r="O437" s="4"/>
    </row>
    <row r="438" ht="12.75" customHeight="1">
      <c r="M438" s="4"/>
      <c r="O438" s="4"/>
    </row>
    <row r="439" ht="12.75" customHeight="1">
      <c r="M439" s="4"/>
      <c r="O439" s="4"/>
    </row>
    <row r="440" ht="12.75" customHeight="1">
      <c r="M440" s="4"/>
      <c r="O440" s="4"/>
    </row>
    <row r="441" ht="12.75" customHeight="1">
      <c r="M441" s="4"/>
      <c r="O441" s="4"/>
    </row>
    <row r="442" ht="12.75" customHeight="1">
      <c r="M442" s="4"/>
      <c r="O442" s="4"/>
    </row>
    <row r="443" ht="12.75" customHeight="1">
      <c r="M443" s="4"/>
      <c r="O443" s="4"/>
    </row>
    <row r="444" ht="12.75" customHeight="1">
      <c r="M444" s="4"/>
      <c r="O444" s="4"/>
    </row>
    <row r="445" ht="12.75" customHeight="1">
      <c r="M445" s="4"/>
      <c r="O445" s="4"/>
    </row>
    <row r="446" ht="12.75" customHeight="1">
      <c r="M446" s="4"/>
      <c r="O446" s="4"/>
    </row>
    <row r="447" ht="12.75" customHeight="1">
      <c r="M447" s="4"/>
      <c r="O447" s="4"/>
    </row>
    <row r="448" ht="12.75" customHeight="1">
      <c r="M448" s="4"/>
      <c r="O448" s="4"/>
    </row>
    <row r="449" ht="12.75" customHeight="1">
      <c r="M449" s="4"/>
      <c r="O449" s="4"/>
    </row>
    <row r="450" ht="12.75" customHeight="1">
      <c r="M450" s="4"/>
      <c r="O450" s="4"/>
    </row>
    <row r="451" ht="12.75" customHeight="1">
      <c r="M451" s="4"/>
      <c r="O451" s="4"/>
    </row>
    <row r="452" ht="12.75" customHeight="1">
      <c r="M452" s="4"/>
      <c r="O452" s="4"/>
    </row>
    <row r="453" ht="12.75" customHeight="1">
      <c r="M453" s="4"/>
      <c r="O453" s="4"/>
    </row>
    <row r="454" ht="12.75" customHeight="1">
      <c r="M454" s="4"/>
      <c r="O454" s="4"/>
    </row>
    <row r="455" ht="12.75" customHeight="1">
      <c r="M455" s="4"/>
      <c r="O455" s="4"/>
    </row>
    <row r="456" ht="12.75" customHeight="1">
      <c r="M456" s="4"/>
      <c r="O456" s="4"/>
    </row>
    <row r="457" ht="12.75" customHeight="1">
      <c r="M457" s="4"/>
      <c r="O457" s="4"/>
    </row>
    <row r="458" ht="12.75" customHeight="1">
      <c r="M458" s="4"/>
      <c r="O458" s="4"/>
    </row>
    <row r="459" ht="12.75" customHeight="1">
      <c r="M459" s="4"/>
      <c r="O459" s="4"/>
    </row>
    <row r="460" ht="12.75" customHeight="1">
      <c r="M460" s="4"/>
      <c r="O460" s="4"/>
    </row>
    <row r="461" ht="12.75" customHeight="1">
      <c r="M461" s="4"/>
      <c r="O461" s="4"/>
    </row>
    <row r="462" ht="12.75" customHeight="1">
      <c r="M462" s="4"/>
      <c r="O462" s="4"/>
    </row>
    <row r="463" ht="12.75" customHeight="1">
      <c r="M463" s="4"/>
      <c r="O463" s="4"/>
    </row>
    <row r="464" ht="12.75" customHeight="1">
      <c r="M464" s="4"/>
      <c r="O464" s="4"/>
    </row>
    <row r="465" ht="12.75" customHeight="1">
      <c r="M465" s="4"/>
      <c r="O465" s="4"/>
    </row>
    <row r="466" ht="12.75" customHeight="1">
      <c r="M466" s="4"/>
      <c r="O466" s="4"/>
    </row>
    <row r="467" ht="12.75" customHeight="1">
      <c r="M467" s="4"/>
      <c r="O467" s="4"/>
    </row>
    <row r="468" ht="12.75" customHeight="1">
      <c r="M468" s="4"/>
      <c r="O468" s="4"/>
    </row>
    <row r="469" ht="12.75" customHeight="1">
      <c r="M469" s="4"/>
      <c r="O469" s="4"/>
    </row>
    <row r="470" ht="12.75" customHeight="1">
      <c r="M470" s="4"/>
      <c r="O470" s="4"/>
    </row>
    <row r="471" ht="12.75" customHeight="1">
      <c r="M471" s="4"/>
      <c r="O471" s="4"/>
    </row>
    <row r="472" ht="12.75" customHeight="1">
      <c r="M472" s="4"/>
      <c r="O472" s="4"/>
    </row>
    <row r="473" ht="12.75" customHeight="1">
      <c r="M473" s="4"/>
      <c r="O473" s="4"/>
    </row>
    <row r="474" ht="12.75" customHeight="1">
      <c r="M474" s="4"/>
      <c r="O474" s="4"/>
    </row>
    <row r="475" ht="12.75" customHeight="1">
      <c r="M475" s="4"/>
      <c r="O475" s="4"/>
    </row>
    <row r="476" ht="12.75" customHeight="1">
      <c r="M476" s="4"/>
      <c r="O476" s="4"/>
    </row>
    <row r="477" ht="12.75" customHeight="1">
      <c r="M477" s="4"/>
      <c r="O477" s="4"/>
    </row>
    <row r="478" ht="12.75" customHeight="1">
      <c r="M478" s="4"/>
      <c r="O478" s="4"/>
    </row>
    <row r="479" ht="12.75" customHeight="1">
      <c r="M479" s="4"/>
      <c r="O479" s="4"/>
    </row>
    <row r="480" ht="12.75" customHeight="1">
      <c r="M480" s="4"/>
      <c r="O480" s="4"/>
    </row>
    <row r="481" ht="12.75" customHeight="1">
      <c r="M481" s="4"/>
      <c r="O481" s="4"/>
    </row>
    <row r="482" ht="12.75" customHeight="1">
      <c r="M482" s="4"/>
      <c r="O482" s="4"/>
    </row>
    <row r="483" ht="12.75" customHeight="1">
      <c r="M483" s="4"/>
      <c r="O483" s="4"/>
    </row>
    <row r="484" ht="12.75" customHeight="1">
      <c r="M484" s="4"/>
      <c r="O484" s="4"/>
    </row>
    <row r="485" ht="12.75" customHeight="1">
      <c r="M485" s="4"/>
      <c r="O485" s="4"/>
    </row>
    <row r="486" ht="12.75" customHeight="1">
      <c r="M486" s="4"/>
      <c r="O486" s="4"/>
    </row>
    <row r="487" ht="12.75" customHeight="1">
      <c r="M487" s="4"/>
      <c r="O487" s="4"/>
    </row>
    <row r="488" ht="12.75" customHeight="1">
      <c r="M488" s="4"/>
      <c r="O488" s="4"/>
    </row>
    <row r="489" ht="12.75" customHeight="1">
      <c r="M489" s="4"/>
      <c r="O489" s="4"/>
    </row>
    <row r="490" ht="12.75" customHeight="1">
      <c r="M490" s="4"/>
      <c r="O490" s="4"/>
    </row>
    <row r="491" ht="12.75" customHeight="1">
      <c r="M491" s="4"/>
      <c r="O491" s="4"/>
    </row>
    <row r="492" ht="12.75" customHeight="1">
      <c r="M492" s="4"/>
      <c r="O492" s="4"/>
    </row>
    <row r="493" ht="12.75" customHeight="1">
      <c r="M493" s="4"/>
      <c r="O493" s="4"/>
    </row>
    <row r="494" ht="12.75" customHeight="1">
      <c r="M494" s="4"/>
      <c r="O494" s="4"/>
    </row>
    <row r="495" ht="12.75" customHeight="1">
      <c r="M495" s="4"/>
      <c r="O495" s="4"/>
    </row>
    <row r="496" ht="12.75" customHeight="1">
      <c r="M496" s="4"/>
      <c r="O496" s="4"/>
    </row>
    <row r="497" ht="12.75" customHeight="1">
      <c r="M497" s="4"/>
      <c r="O497" s="4"/>
    </row>
    <row r="498" ht="12.75" customHeight="1">
      <c r="M498" s="4"/>
      <c r="O498" s="4"/>
    </row>
    <row r="499" ht="12.75" customHeight="1">
      <c r="M499" s="4"/>
      <c r="O499" s="4"/>
    </row>
    <row r="500" ht="12.75" customHeight="1">
      <c r="M500" s="4"/>
      <c r="O500" s="4"/>
    </row>
    <row r="501" ht="12.75" customHeight="1">
      <c r="M501" s="4"/>
      <c r="O501" s="4"/>
    </row>
    <row r="502" ht="12.75" customHeight="1">
      <c r="M502" s="4"/>
      <c r="O502" s="4"/>
    </row>
    <row r="503" ht="12.75" customHeight="1">
      <c r="M503" s="4"/>
      <c r="O503" s="4"/>
    </row>
    <row r="504" ht="12.75" customHeight="1">
      <c r="M504" s="4"/>
      <c r="O504" s="4"/>
    </row>
    <row r="505" ht="12.75" customHeight="1">
      <c r="M505" s="4"/>
      <c r="O505" s="4"/>
    </row>
    <row r="506" ht="12.75" customHeight="1">
      <c r="M506" s="4"/>
      <c r="O506" s="4"/>
    </row>
    <row r="507" ht="12.75" customHeight="1">
      <c r="M507" s="4"/>
      <c r="O507" s="4"/>
    </row>
    <row r="508" ht="12.75" customHeight="1">
      <c r="M508" s="4"/>
      <c r="O508" s="4"/>
    </row>
    <row r="509" ht="12.75" customHeight="1">
      <c r="M509" s="4"/>
      <c r="O509" s="4"/>
    </row>
    <row r="510" ht="12.75" customHeight="1">
      <c r="M510" s="4"/>
      <c r="O510" s="4"/>
    </row>
    <row r="511" ht="12.75" customHeight="1">
      <c r="M511" s="4"/>
      <c r="O511" s="4"/>
    </row>
    <row r="512" ht="12.75" customHeight="1">
      <c r="M512" s="4"/>
      <c r="O512" s="4"/>
    </row>
    <row r="513" ht="12.75" customHeight="1">
      <c r="M513" s="4"/>
      <c r="O513" s="4"/>
    </row>
    <row r="514" ht="12.75" customHeight="1">
      <c r="M514" s="4"/>
      <c r="O514" s="4"/>
    </row>
    <row r="515" ht="12.75" customHeight="1">
      <c r="M515" s="4"/>
      <c r="O515" s="4"/>
    </row>
    <row r="516" ht="12.75" customHeight="1">
      <c r="M516" s="4"/>
      <c r="O516" s="4"/>
    </row>
    <row r="517" ht="12.75" customHeight="1">
      <c r="M517" s="4"/>
      <c r="O517" s="4"/>
    </row>
    <row r="518" ht="12.75" customHeight="1">
      <c r="M518" s="4"/>
      <c r="O518" s="4"/>
    </row>
    <row r="519" ht="12.75" customHeight="1">
      <c r="M519" s="4"/>
      <c r="O519" s="4"/>
    </row>
    <row r="520" ht="12.75" customHeight="1">
      <c r="M520" s="4"/>
      <c r="O520" s="4"/>
    </row>
    <row r="521" ht="12.75" customHeight="1">
      <c r="M521" s="4"/>
      <c r="O521" s="4"/>
    </row>
    <row r="522" ht="12.75" customHeight="1">
      <c r="M522" s="4"/>
      <c r="O522" s="4"/>
    </row>
    <row r="523" ht="12.75" customHeight="1">
      <c r="M523" s="4"/>
      <c r="O523" s="4"/>
    </row>
    <row r="524" ht="12.75" customHeight="1">
      <c r="M524" s="4"/>
      <c r="O524" s="4"/>
    </row>
    <row r="525" ht="12.75" customHeight="1">
      <c r="M525" s="4"/>
      <c r="O525" s="4"/>
    </row>
    <row r="526" ht="12.75" customHeight="1">
      <c r="M526" s="4"/>
      <c r="O526" s="4"/>
    </row>
    <row r="527" ht="12.75" customHeight="1">
      <c r="M527" s="4"/>
      <c r="O527" s="4"/>
    </row>
    <row r="528" ht="12.75" customHeight="1">
      <c r="M528" s="4"/>
      <c r="O528" s="4"/>
    </row>
    <row r="529" ht="12.75" customHeight="1">
      <c r="M529" s="4"/>
      <c r="O529" s="4"/>
    </row>
    <row r="530" ht="12.75" customHeight="1">
      <c r="M530" s="4"/>
      <c r="O530" s="4"/>
    </row>
    <row r="531" ht="12.75" customHeight="1">
      <c r="M531" s="4"/>
      <c r="O531" s="4"/>
    </row>
    <row r="532" ht="12.75" customHeight="1">
      <c r="M532" s="4"/>
      <c r="O532" s="4"/>
    </row>
    <row r="533" ht="12.75" customHeight="1">
      <c r="M533" s="4"/>
      <c r="O533" s="4"/>
    </row>
    <row r="534" ht="12.75" customHeight="1">
      <c r="M534" s="4"/>
      <c r="O534" s="4"/>
    </row>
    <row r="535" ht="12.75" customHeight="1">
      <c r="M535" s="4"/>
      <c r="O535" s="4"/>
    </row>
    <row r="536" ht="12.75" customHeight="1">
      <c r="M536" s="4"/>
      <c r="O536" s="4"/>
    </row>
    <row r="537" ht="12.75" customHeight="1">
      <c r="M537" s="4"/>
      <c r="O537" s="4"/>
    </row>
    <row r="538" ht="12.75" customHeight="1">
      <c r="M538" s="4"/>
      <c r="O538" s="4"/>
    </row>
    <row r="539" ht="12.75" customHeight="1">
      <c r="M539" s="4"/>
      <c r="O539" s="4"/>
    </row>
    <row r="540" ht="12.75" customHeight="1">
      <c r="M540" s="4"/>
      <c r="O540" s="4"/>
    </row>
    <row r="541" ht="12.75" customHeight="1">
      <c r="M541" s="4"/>
      <c r="O541" s="4"/>
    </row>
    <row r="542" ht="12.75" customHeight="1">
      <c r="M542" s="4"/>
      <c r="O542" s="4"/>
    </row>
    <row r="543" ht="12.75" customHeight="1">
      <c r="M543" s="4"/>
      <c r="O543" s="4"/>
    </row>
    <row r="544" ht="12.75" customHeight="1">
      <c r="M544" s="4"/>
      <c r="O544" s="4"/>
    </row>
    <row r="545" ht="12.75" customHeight="1">
      <c r="M545" s="4"/>
      <c r="O545" s="4"/>
    </row>
    <row r="546" ht="12.75" customHeight="1">
      <c r="M546" s="4"/>
      <c r="O546" s="4"/>
    </row>
    <row r="547" ht="12.75" customHeight="1">
      <c r="M547" s="4"/>
      <c r="O547" s="4"/>
    </row>
    <row r="548" ht="12.75" customHeight="1">
      <c r="M548" s="4"/>
      <c r="O548" s="4"/>
    </row>
    <row r="549" ht="12.75" customHeight="1">
      <c r="M549" s="4"/>
      <c r="O549" s="4"/>
    </row>
    <row r="550" ht="12.75" customHeight="1">
      <c r="M550" s="4"/>
      <c r="O550" s="4"/>
    </row>
    <row r="551" ht="12.75" customHeight="1">
      <c r="M551" s="4"/>
      <c r="O551" s="4"/>
    </row>
    <row r="552" ht="12.75" customHeight="1">
      <c r="M552" s="4"/>
      <c r="O552" s="4"/>
    </row>
    <row r="553" ht="12.75" customHeight="1">
      <c r="M553" s="4"/>
      <c r="O553" s="4"/>
    </row>
    <row r="554" ht="12.75" customHeight="1">
      <c r="M554" s="4"/>
      <c r="O554" s="4"/>
    </row>
    <row r="555" ht="12.75" customHeight="1">
      <c r="M555" s="4"/>
      <c r="O555" s="4"/>
    </row>
    <row r="556" ht="12.75" customHeight="1">
      <c r="M556" s="4"/>
      <c r="O556" s="4"/>
    </row>
    <row r="557" ht="12.75" customHeight="1">
      <c r="M557" s="4"/>
      <c r="O557" s="4"/>
    </row>
    <row r="558" ht="12.75" customHeight="1">
      <c r="M558" s="4"/>
      <c r="O558" s="4"/>
    </row>
    <row r="559" ht="12.75" customHeight="1">
      <c r="M559" s="4"/>
      <c r="O559" s="4"/>
    </row>
    <row r="560" ht="12.75" customHeight="1">
      <c r="M560" s="4"/>
      <c r="O560" s="4"/>
    </row>
    <row r="561" ht="12.75" customHeight="1">
      <c r="M561" s="4"/>
      <c r="O561" s="4"/>
    </row>
    <row r="562" ht="12.75" customHeight="1">
      <c r="M562" s="4"/>
      <c r="O562" s="4"/>
    </row>
    <row r="563" ht="12.75" customHeight="1">
      <c r="M563" s="4"/>
      <c r="O563" s="4"/>
    </row>
    <row r="564" ht="12.75" customHeight="1">
      <c r="M564" s="4"/>
      <c r="O564" s="4"/>
    </row>
    <row r="565" ht="12.75" customHeight="1">
      <c r="M565" s="4"/>
      <c r="O565" s="4"/>
    </row>
    <row r="566" ht="12.75" customHeight="1">
      <c r="M566" s="4"/>
      <c r="O566" s="4"/>
    </row>
    <row r="567" ht="12.75" customHeight="1">
      <c r="M567" s="4"/>
      <c r="O567" s="4"/>
    </row>
    <row r="568" ht="12.75" customHeight="1">
      <c r="M568" s="4"/>
      <c r="O568" s="4"/>
    </row>
    <row r="569" ht="12.75" customHeight="1">
      <c r="M569" s="4"/>
      <c r="O569" s="4"/>
    </row>
    <row r="570" ht="12.75" customHeight="1">
      <c r="M570" s="4"/>
      <c r="O570" s="4"/>
    </row>
    <row r="571" ht="12.75" customHeight="1">
      <c r="M571" s="4"/>
      <c r="O571" s="4"/>
    </row>
    <row r="572" ht="12.75" customHeight="1">
      <c r="M572" s="4"/>
      <c r="O572" s="4"/>
    </row>
    <row r="573" ht="12.75" customHeight="1">
      <c r="M573" s="4"/>
      <c r="O573" s="4"/>
    </row>
    <row r="574" ht="12.75" customHeight="1">
      <c r="M574" s="4"/>
      <c r="O574" s="4"/>
    </row>
    <row r="575" ht="12.75" customHeight="1">
      <c r="M575" s="4"/>
      <c r="O575" s="4"/>
    </row>
    <row r="576" ht="12.75" customHeight="1">
      <c r="M576" s="4"/>
      <c r="O576" s="4"/>
    </row>
    <row r="577" ht="12.75" customHeight="1">
      <c r="M577" s="4"/>
      <c r="O577" s="4"/>
    </row>
    <row r="578" ht="12.75" customHeight="1">
      <c r="M578" s="4"/>
      <c r="O578" s="4"/>
    </row>
    <row r="579" ht="12.75" customHeight="1">
      <c r="M579" s="4"/>
      <c r="O579" s="4"/>
    </row>
    <row r="580" ht="12.75" customHeight="1">
      <c r="M580" s="4"/>
      <c r="O580" s="4"/>
    </row>
    <row r="581" ht="12.75" customHeight="1">
      <c r="M581" s="4"/>
      <c r="O581" s="4"/>
    </row>
    <row r="582" ht="12.75" customHeight="1">
      <c r="M582" s="4"/>
      <c r="O582" s="4"/>
    </row>
    <row r="583" ht="12.75" customHeight="1">
      <c r="M583" s="4"/>
      <c r="O583" s="4"/>
    </row>
    <row r="584" ht="12.75" customHeight="1">
      <c r="M584" s="4"/>
      <c r="O584" s="4"/>
    </row>
    <row r="585" ht="12.75" customHeight="1">
      <c r="M585" s="4"/>
      <c r="O585" s="4"/>
    </row>
    <row r="586" ht="12.75" customHeight="1">
      <c r="M586" s="4"/>
      <c r="O586" s="4"/>
    </row>
    <row r="587" ht="12.75" customHeight="1">
      <c r="M587" s="4"/>
      <c r="O587" s="4"/>
    </row>
    <row r="588" ht="12.75" customHeight="1">
      <c r="M588" s="4"/>
      <c r="O588" s="4"/>
    </row>
    <row r="589" ht="12.75" customHeight="1">
      <c r="M589" s="4"/>
      <c r="O589" s="4"/>
    </row>
    <row r="590" ht="12.75" customHeight="1">
      <c r="M590" s="4"/>
      <c r="O590" s="4"/>
    </row>
    <row r="591" ht="12.75" customHeight="1">
      <c r="M591" s="4"/>
      <c r="O591" s="4"/>
    </row>
    <row r="592" ht="12.75" customHeight="1">
      <c r="M592" s="4"/>
      <c r="O592" s="4"/>
    </row>
    <row r="593" ht="12.75" customHeight="1">
      <c r="M593" s="4"/>
      <c r="O593" s="4"/>
    </row>
    <row r="594" ht="12.75" customHeight="1">
      <c r="M594" s="4"/>
      <c r="O594" s="4"/>
    </row>
    <row r="595" ht="12.75" customHeight="1">
      <c r="M595" s="4"/>
      <c r="O595" s="4"/>
    </row>
    <row r="596" ht="12.75" customHeight="1">
      <c r="M596" s="4"/>
      <c r="O596" s="4"/>
    </row>
    <row r="597" ht="12.75" customHeight="1">
      <c r="M597" s="4"/>
      <c r="O597" s="4"/>
    </row>
    <row r="598" ht="12.75" customHeight="1">
      <c r="M598" s="4"/>
      <c r="O598" s="4"/>
    </row>
    <row r="599" ht="12.75" customHeight="1">
      <c r="M599" s="4"/>
      <c r="O599" s="4"/>
    </row>
    <row r="600" ht="12.75" customHeight="1">
      <c r="M600" s="4"/>
      <c r="O600" s="4"/>
    </row>
    <row r="601" ht="12.75" customHeight="1">
      <c r="M601" s="4"/>
      <c r="O601" s="4"/>
    </row>
    <row r="602" ht="12.75" customHeight="1">
      <c r="M602" s="4"/>
      <c r="O602" s="4"/>
    </row>
    <row r="603" ht="12.75" customHeight="1">
      <c r="M603" s="4"/>
      <c r="O603" s="4"/>
    </row>
    <row r="604" ht="12.75" customHeight="1">
      <c r="M604" s="4"/>
      <c r="O604" s="4"/>
    </row>
    <row r="605" ht="12.75" customHeight="1">
      <c r="M605" s="4"/>
      <c r="O605" s="4"/>
    </row>
    <row r="606" ht="12.75" customHeight="1">
      <c r="M606" s="4"/>
      <c r="O606" s="4"/>
    </row>
    <row r="607" ht="12.75" customHeight="1">
      <c r="M607" s="4"/>
      <c r="O607" s="4"/>
    </row>
    <row r="608" ht="12.75" customHeight="1">
      <c r="M608" s="4"/>
      <c r="O608" s="4"/>
    </row>
    <row r="609" ht="12.75" customHeight="1">
      <c r="M609" s="4"/>
      <c r="O609" s="4"/>
    </row>
    <row r="610" ht="12.75" customHeight="1">
      <c r="M610" s="4"/>
      <c r="O610" s="4"/>
    </row>
    <row r="611" ht="12.75" customHeight="1">
      <c r="M611" s="4"/>
      <c r="O611" s="4"/>
    </row>
    <row r="612" ht="12.75" customHeight="1">
      <c r="M612" s="4"/>
      <c r="O612" s="4"/>
    </row>
    <row r="613" ht="12.75" customHeight="1">
      <c r="M613" s="4"/>
      <c r="O613" s="4"/>
    </row>
    <row r="614" ht="12.75" customHeight="1">
      <c r="M614" s="4"/>
      <c r="O614" s="4"/>
    </row>
    <row r="615" ht="12.75" customHeight="1">
      <c r="M615" s="4"/>
      <c r="O615" s="4"/>
    </row>
    <row r="616" ht="12.75" customHeight="1">
      <c r="M616" s="4"/>
      <c r="O616" s="4"/>
    </row>
    <row r="617" ht="12.75" customHeight="1">
      <c r="M617" s="4"/>
      <c r="O617" s="4"/>
    </row>
    <row r="618" ht="12.75" customHeight="1">
      <c r="M618" s="4"/>
      <c r="O618" s="4"/>
    </row>
    <row r="619" ht="12.75" customHeight="1">
      <c r="M619" s="4"/>
      <c r="O619" s="4"/>
    </row>
    <row r="620" ht="12.75" customHeight="1">
      <c r="M620" s="4"/>
      <c r="O620" s="4"/>
    </row>
    <row r="621" ht="12.75" customHeight="1">
      <c r="M621" s="4"/>
      <c r="O621" s="4"/>
    </row>
    <row r="622" ht="12.75" customHeight="1">
      <c r="M622" s="4"/>
      <c r="O622" s="4"/>
    </row>
    <row r="623" ht="12.75" customHeight="1">
      <c r="M623" s="4"/>
      <c r="O623" s="4"/>
    </row>
    <row r="624" ht="12.75" customHeight="1">
      <c r="M624" s="4"/>
      <c r="O624" s="4"/>
    </row>
    <row r="625" ht="12.75" customHeight="1">
      <c r="M625" s="4"/>
      <c r="O625" s="4"/>
    </row>
    <row r="626" ht="12.75" customHeight="1">
      <c r="M626" s="4"/>
      <c r="O626" s="4"/>
    </row>
    <row r="627" ht="12.75" customHeight="1">
      <c r="M627" s="4"/>
      <c r="O627" s="4"/>
    </row>
    <row r="628" ht="12.75" customHeight="1">
      <c r="M628" s="4"/>
      <c r="O628" s="4"/>
    </row>
    <row r="629" ht="12.75" customHeight="1">
      <c r="M629" s="4"/>
      <c r="O629" s="4"/>
    </row>
    <row r="630" ht="12.75" customHeight="1">
      <c r="M630" s="4"/>
      <c r="O630" s="4"/>
    </row>
    <row r="631" ht="12.75" customHeight="1">
      <c r="M631" s="4"/>
      <c r="O631" s="4"/>
    </row>
    <row r="632" ht="12.75" customHeight="1">
      <c r="M632" s="4"/>
      <c r="O632" s="4"/>
    </row>
    <row r="633" ht="12.75" customHeight="1">
      <c r="M633" s="4"/>
      <c r="O633" s="4"/>
    </row>
    <row r="634" ht="12.75" customHeight="1">
      <c r="M634" s="4"/>
      <c r="O634" s="4"/>
    </row>
    <row r="635" ht="12.75" customHeight="1">
      <c r="M635" s="4"/>
      <c r="O635" s="4"/>
    </row>
    <row r="636" ht="12.75" customHeight="1">
      <c r="M636" s="4"/>
      <c r="O636" s="4"/>
    </row>
    <row r="637" ht="12.75" customHeight="1">
      <c r="M637" s="4"/>
      <c r="O637" s="4"/>
    </row>
    <row r="638" ht="12.75" customHeight="1">
      <c r="M638" s="4"/>
      <c r="O638" s="4"/>
    </row>
    <row r="639" ht="12.75" customHeight="1">
      <c r="M639" s="4"/>
      <c r="O639" s="4"/>
    </row>
    <row r="640" ht="12.75" customHeight="1">
      <c r="M640" s="4"/>
      <c r="O640" s="4"/>
    </row>
    <row r="641" ht="12.75" customHeight="1">
      <c r="M641" s="4"/>
      <c r="O641" s="4"/>
    </row>
    <row r="642" ht="12.75" customHeight="1">
      <c r="M642" s="4"/>
      <c r="O642" s="4"/>
    </row>
    <row r="643" ht="12.75" customHeight="1">
      <c r="M643" s="4"/>
      <c r="O643" s="4"/>
    </row>
    <row r="644" ht="12.75" customHeight="1">
      <c r="M644" s="4"/>
      <c r="O644" s="4"/>
    </row>
    <row r="645" ht="12.75" customHeight="1">
      <c r="M645" s="4"/>
      <c r="O645" s="4"/>
    </row>
    <row r="646" ht="12.75" customHeight="1">
      <c r="M646" s="4"/>
      <c r="O646" s="4"/>
    </row>
    <row r="647" ht="12.75" customHeight="1">
      <c r="M647" s="4"/>
      <c r="O647" s="4"/>
    </row>
    <row r="648" ht="12.75" customHeight="1">
      <c r="M648" s="4"/>
      <c r="O648" s="4"/>
    </row>
    <row r="649" ht="12.75" customHeight="1">
      <c r="M649" s="4"/>
      <c r="O649" s="4"/>
    </row>
    <row r="650" ht="12.75" customHeight="1">
      <c r="M650" s="4"/>
      <c r="O650" s="4"/>
    </row>
    <row r="651" ht="12.75" customHeight="1">
      <c r="M651" s="4"/>
      <c r="O651" s="4"/>
    </row>
    <row r="652" ht="12.75" customHeight="1">
      <c r="M652" s="4"/>
      <c r="O652" s="4"/>
    </row>
    <row r="653" ht="12.75" customHeight="1">
      <c r="M653" s="4"/>
      <c r="O653" s="4"/>
    </row>
    <row r="654" ht="12.75" customHeight="1">
      <c r="M654" s="4"/>
      <c r="O654" s="4"/>
    </row>
    <row r="655" ht="12.75" customHeight="1">
      <c r="M655" s="4"/>
      <c r="O655" s="4"/>
    </row>
    <row r="656" ht="12.75" customHeight="1">
      <c r="M656" s="4"/>
      <c r="O656" s="4"/>
    </row>
    <row r="657" ht="12.75" customHeight="1">
      <c r="M657" s="4"/>
      <c r="O657" s="4"/>
    </row>
    <row r="658" ht="12.75" customHeight="1">
      <c r="M658" s="4"/>
      <c r="O658" s="4"/>
    </row>
    <row r="659" ht="12.75" customHeight="1">
      <c r="M659" s="4"/>
      <c r="O659" s="4"/>
    </row>
    <row r="660" ht="12.75" customHeight="1">
      <c r="M660" s="4"/>
      <c r="O660" s="4"/>
    </row>
    <row r="661" ht="12.75" customHeight="1">
      <c r="M661" s="4"/>
      <c r="O661" s="4"/>
    </row>
    <row r="662" ht="12.75" customHeight="1">
      <c r="M662" s="4"/>
      <c r="O662" s="4"/>
    </row>
    <row r="663" ht="12.75" customHeight="1">
      <c r="M663" s="4"/>
      <c r="O663" s="4"/>
    </row>
    <row r="664" ht="12.75" customHeight="1">
      <c r="M664" s="4"/>
      <c r="O664" s="4"/>
    </row>
    <row r="665" ht="12.75" customHeight="1">
      <c r="M665" s="4"/>
      <c r="O665" s="4"/>
    </row>
    <row r="666" ht="12.75" customHeight="1">
      <c r="M666" s="4"/>
      <c r="O666" s="4"/>
    </row>
    <row r="667" ht="12.75" customHeight="1">
      <c r="M667" s="4"/>
      <c r="O667" s="4"/>
    </row>
    <row r="668" ht="12.75" customHeight="1">
      <c r="M668" s="4"/>
      <c r="O668" s="4"/>
    </row>
    <row r="669" ht="12.75" customHeight="1">
      <c r="M669" s="4"/>
      <c r="O669" s="4"/>
    </row>
    <row r="670" ht="12.75" customHeight="1">
      <c r="M670" s="4"/>
      <c r="O670" s="4"/>
    </row>
    <row r="671" ht="12.75" customHeight="1">
      <c r="M671" s="4"/>
      <c r="O671" s="4"/>
    </row>
    <row r="672" ht="12.75" customHeight="1">
      <c r="M672" s="4"/>
      <c r="O672" s="4"/>
    </row>
    <row r="673" ht="12.75" customHeight="1">
      <c r="M673" s="4"/>
      <c r="O673" s="4"/>
    </row>
    <row r="674" ht="12.75" customHeight="1">
      <c r="M674" s="4"/>
      <c r="O674" s="4"/>
    </row>
    <row r="675" ht="12.75" customHeight="1">
      <c r="M675" s="4"/>
      <c r="O675" s="4"/>
    </row>
    <row r="676" ht="12.75" customHeight="1">
      <c r="M676" s="4"/>
      <c r="O676" s="4"/>
    </row>
    <row r="677" ht="12.75" customHeight="1">
      <c r="M677" s="4"/>
      <c r="O677" s="4"/>
    </row>
    <row r="678" ht="12.75" customHeight="1">
      <c r="M678" s="4"/>
      <c r="O678" s="4"/>
    </row>
    <row r="679" ht="12.75" customHeight="1">
      <c r="M679" s="4"/>
      <c r="O679" s="4"/>
    </row>
    <row r="680" ht="12.75" customHeight="1">
      <c r="M680" s="4"/>
      <c r="O680" s="4"/>
    </row>
    <row r="681" ht="12.75" customHeight="1">
      <c r="M681" s="4"/>
      <c r="O681" s="4"/>
    </row>
    <row r="682" ht="12.75" customHeight="1">
      <c r="M682" s="4"/>
      <c r="O682" s="4"/>
    </row>
    <row r="683" ht="12.75" customHeight="1">
      <c r="M683" s="4"/>
      <c r="O683" s="4"/>
    </row>
    <row r="684" ht="12.75" customHeight="1">
      <c r="M684" s="4"/>
      <c r="O684" s="4"/>
    </row>
    <row r="685" ht="12.75" customHeight="1">
      <c r="M685" s="4"/>
      <c r="O685" s="4"/>
    </row>
    <row r="686" ht="12.75" customHeight="1">
      <c r="M686" s="4"/>
      <c r="O686" s="4"/>
    </row>
    <row r="687" ht="12.75" customHeight="1">
      <c r="M687" s="4"/>
      <c r="O687" s="4"/>
    </row>
    <row r="688" ht="12.75" customHeight="1">
      <c r="M688" s="4"/>
      <c r="O688" s="4"/>
    </row>
    <row r="689" ht="12.75" customHeight="1">
      <c r="M689" s="4"/>
      <c r="O689" s="4"/>
    </row>
    <row r="690" ht="12.75" customHeight="1">
      <c r="M690" s="4"/>
      <c r="O690" s="4"/>
    </row>
    <row r="691" ht="12.75" customHeight="1">
      <c r="M691" s="4"/>
      <c r="O691" s="4"/>
    </row>
    <row r="692" ht="12.75" customHeight="1">
      <c r="M692" s="4"/>
      <c r="O692" s="4"/>
    </row>
    <row r="693" ht="12.75" customHeight="1">
      <c r="M693" s="4"/>
      <c r="O693" s="4"/>
    </row>
    <row r="694" ht="12.75" customHeight="1">
      <c r="M694" s="4"/>
      <c r="O694" s="4"/>
    </row>
    <row r="695" ht="12.75" customHeight="1">
      <c r="M695" s="4"/>
      <c r="O695" s="4"/>
    </row>
    <row r="696" ht="12.75" customHeight="1">
      <c r="M696" s="4"/>
      <c r="O696" s="4"/>
    </row>
    <row r="697" ht="12.75" customHeight="1">
      <c r="M697" s="4"/>
      <c r="O697" s="4"/>
    </row>
    <row r="698" ht="12.75" customHeight="1">
      <c r="M698" s="4"/>
      <c r="O698" s="4"/>
    </row>
    <row r="699" ht="12.75" customHeight="1">
      <c r="M699" s="4"/>
      <c r="O699" s="4"/>
    </row>
    <row r="700" ht="12.75" customHeight="1">
      <c r="M700" s="4"/>
      <c r="O700" s="4"/>
    </row>
    <row r="701" ht="12.75" customHeight="1">
      <c r="M701" s="4"/>
      <c r="O701" s="4"/>
    </row>
    <row r="702" ht="12.75" customHeight="1">
      <c r="M702" s="4"/>
      <c r="O702" s="4"/>
    </row>
    <row r="703" ht="12.75" customHeight="1">
      <c r="M703" s="4"/>
      <c r="O703" s="4"/>
    </row>
    <row r="704" ht="12.75" customHeight="1">
      <c r="M704" s="4"/>
      <c r="O704" s="4"/>
    </row>
    <row r="705" ht="12.75" customHeight="1">
      <c r="M705" s="4"/>
      <c r="O705" s="4"/>
    </row>
    <row r="706" ht="12.75" customHeight="1">
      <c r="M706" s="4"/>
      <c r="O706" s="4"/>
    </row>
    <row r="707" ht="12.75" customHeight="1">
      <c r="M707" s="4"/>
      <c r="O707" s="4"/>
    </row>
    <row r="708" ht="12.75" customHeight="1">
      <c r="M708" s="4"/>
      <c r="O708" s="4"/>
    </row>
    <row r="709" ht="12.75" customHeight="1">
      <c r="M709" s="4"/>
      <c r="O709" s="4"/>
    </row>
    <row r="710" ht="12.75" customHeight="1">
      <c r="M710" s="4"/>
      <c r="O710" s="4"/>
    </row>
    <row r="711" ht="12.75" customHeight="1">
      <c r="M711" s="4"/>
      <c r="O711" s="4"/>
    </row>
    <row r="712" ht="12.75" customHeight="1">
      <c r="M712" s="4"/>
      <c r="O712" s="4"/>
    </row>
    <row r="713" ht="12.75" customHeight="1">
      <c r="M713" s="4"/>
      <c r="O713" s="4"/>
    </row>
    <row r="714" ht="12.75" customHeight="1">
      <c r="M714" s="4"/>
      <c r="O714" s="4"/>
    </row>
    <row r="715" ht="12.75" customHeight="1">
      <c r="M715" s="4"/>
      <c r="O715" s="4"/>
    </row>
    <row r="716" ht="12.75" customHeight="1">
      <c r="M716" s="4"/>
      <c r="O716" s="4"/>
    </row>
    <row r="717" ht="12.75" customHeight="1">
      <c r="M717" s="4"/>
      <c r="O717" s="4"/>
    </row>
    <row r="718" ht="12.75" customHeight="1">
      <c r="M718" s="4"/>
      <c r="O718" s="4"/>
    </row>
    <row r="719" ht="12.75" customHeight="1">
      <c r="M719" s="4"/>
      <c r="O719" s="4"/>
    </row>
    <row r="720" ht="12.75" customHeight="1">
      <c r="M720" s="4"/>
      <c r="O720" s="4"/>
    </row>
    <row r="721" ht="12.75" customHeight="1">
      <c r="M721" s="4"/>
      <c r="O721" s="4"/>
    </row>
    <row r="722" ht="12.75" customHeight="1">
      <c r="M722" s="4"/>
      <c r="O722" s="4"/>
    </row>
    <row r="723" ht="12.75" customHeight="1">
      <c r="M723" s="4"/>
      <c r="O723" s="4"/>
    </row>
    <row r="724" ht="12.75" customHeight="1">
      <c r="M724" s="4"/>
      <c r="O724" s="4"/>
    </row>
    <row r="725" ht="12.75" customHeight="1">
      <c r="M725" s="4"/>
      <c r="O725" s="4"/>
    </row>
    <row r="726" ht="12.75" customHeight="1">
      <c r="M726" s="4"/>
      <c r="O726" s="4"/>
    </row>
    <row r="727" ht="12.75" customHeight="1">
      <c r="M727" s="4"/>
      <c r="O727" s="4"/>
    </row>
    <row r="728" ht="12.75" customHeight="1">
      <c r="M728" s="4"/>
      <c r="O728" s="4"/>
    </row>
    <row r="729" ht="12.75" customHeight="1">
      <c r="M729" s="4"/>
      <c r="O729" s="4"/>
    </row>
    <row r="730" ht="12.75" customHeight="1">
      <c r="M730" s="4"/>
      <c r="O730" s="4"/>
    </row>
    <row r="731" ht="12.75" customHeight="1">
      <c r="M731" s="4"/>
      <c r="O731" s="4"/>
    </row>
    <row r="732" ht="12.75" customHeight="1">
      <c r="M732" s="4"/>
      <c r="O732" s="4"/>
    </row>
    <row r="733" ht="12.75" customHeight="1">
      <c r="M733" s="4"/>
      <c r="O733" s="4"/>
    </row>
    <row r="734" ht="12.75" customHeight="1">
      <c r="M734" s="4"/>
      <c r="O734" s="4"/>
    </row>
    <row r="735" ht="12.75" customHeight="1">
      <c r="M735" s="4"/>
      <c r="O735" s="4"/>
    </row>
    <row r="736" ht="12.75" customHeight="1">
      <c r="M736" s="4"/>
      <c r="O736" s="4"/>
    </row>
    <row r="737" ht="12.75" customHeight="1">
      <c r="M737" s="4"/>
      <c r="O737" s="4"/>
    </row>
    <row r="738" ht="12.75" customHeight="1">
      <c r="M738" s="4"/>
      <c r="O738" s="4"/>
    </row>
    <row r="739" ht="12.75" customHeight="1">
      <c r="M739" s="4"/>
      <c r="O739" s="4"/>
    </row>
    <row r="740" ht="12.75" customHeight="1">
      <c r="M740" s="4"/>
      <c r="O740" s="4"/>
    </row>
    <row r="741" ht="12.75" customHeight="1">
      <c r="M741" s="4"/>
      <c r="O741" s="4"/>
    </row>
    <row r="742" ht="12.75" customHeight="1">
      <c r="M742" s="4"/>
      <c r="O742" s="4"/>
    </row>
    <row r="743" ht="12.75" customHeight="1">
      <c r="M743" s="4"/>
      <c r="O743" s="4"/>
    </row>
    <row r="744" ht="12.75" customHeight="1">
      <c r="M744" s="4"/>
      <c r="O744" s="4"/>
    </row>
    <row r="745" ht="12.75" customHeight="1">
      <c r="M745" s="4"/>
      <c r="O745" s="4"/>
    </row>
    <row r="746" ht="12.75" customHeight="1">
      <c r="M746" s="4"/>
      <c r="O746" s="4"/>
    </row>
    <row r="747" ht="12.75" customHeight="1">
      <c r="M747" s="4"/>
      <c r="O747" s="4"/>
    </row>
    <row r="748" ht="12.75" customHeight="1">
      <c r="M748" s="4"/>
      <c r="O748" s="4"/>
    </row>
    <row r="749" ht="12.75" customHeight="1">
      <c r="M749" s="4"/>
      <c r="O749" s="4"/>
    </row>
    <row r="750" ht="12.75" customHeight="1">
      <c r="M750" s="4"/>
      <c r="O750" s="4"/>
    </row>
    <row r="751" ht="12.75" customHeight="1">
      <c r="M751" s="4"/>
      <c r="O751" s="4"/>
    </row>
    <row r="752" ht="12.75" customHeight="1">
      <c r="M752" s="4"/>
      <c r="O752" s="4"/>
    </row>
    <row r="753" ht="12.75" customHeight="1">
      <c r="M753" s="4"/>
      <c r="O753" s="4"/>
    </row>
    <row r="754" ht="12.75" customHeight="1">
      <c r="M754" s="4"/>
      <c r="O754" s="4"/>
    </row>
    <row r="755" ht="12.75" customHeight="1">
      <c r="M755" s="4"/>
      <c r="O755" s="4"/>
    </row>
    <row r="756" ht="12.75" customHeight="1">
      <c r="M756" s="4"/>
      <c r="O756" s="4"/>
    </row>
    <row r="757" ht="12.75" customHeight="1">
      <c r="M757" s="4"/>
      <c r="O757" s="4"/>
    </row>
    <row r="758" ht="12.75" customHeight="1">
      <c r="M758" s="4"/>
      <c r="O758" s="4"/>
    </row>
    <row r="759" ht="12.75" customHeight="1">
      <c r="M759" s="4"/>
      <c r="O759" s="4"/>
    </row>
    <row r="760" ht="12.75" customHeight="1">
      <c r="M760" s="4"/>
      <c r="O760" s="4"/>
    </row>
    <row r="761" ht="12.75" customHeight="1">
      <c r="M761" s="4"/>
      <c r="O761" s="4"/>
    </row>
    <row r="762" ht="12.75" customHeight="1">
      <c r="M762" s="4"/>
      <c r="O762" s="4"/>
    </row>
    <row r="763" ht="12.75" customHeight="1">
      <c r="M763" s="4"/>
      <c r="O763" s="4"/>
    </row>
    <row r="764" ht="12.75" customHeight="1">
      <c r="M764" s="4"/>
      <c r="O764" s="4"/>
    </row>
    <row r="765" ht="12.75" customHeight="1">
      <c r="M765" s="4"/>
      <c r="O765" s="4"/>
    </row>
    <row r="766" ht="12.75" customHeight="1">
      <c r="M766" s="4"/>
      <c r="O766" s="4"/>
    </row>
    <row r="767" ht="12.75" customHeight="1">
      <c r="M767" s="4"/>
      <c r="O767" s="4"/>
    </row>
    <row r="768" ht="12.75" customHeight="1">
      <c r="M768" s="4"/>
      <c r="O768" s="4"/>
    </row>
    <row r="769" ht="12.75" customHeight="1">
      <c r="M769" s="4"/>
      <c r="O769" s="4"/>
    </row>
    <row r="770" ht="12.75" customHeight="1">
      <c r="M770" s="4"/>
      <c r="O770" s="4"/>
    </row>
    <row r="771" ht="12.75" customHeight="1">
      <c r="M771" s="4"/>
      <c r="O771" s="4"/>
    </row>
    <row r="772" ht="12.75" customHeight="1">
      <c r="M772" s="4"/>
      <c r="O772" s="4"/>
    </row>
    <row r="773" ht="12.75" customHeight="1">
      <c r="M773" s="4"/>
      <c r="O773" s="4"/>
    </row>
    <row r="774" ht="12.75" customHeight="1">
      <c r="M774" s="4"/>
      <c r="O774" s="4"/>
    </row>
    <row r="775" ht="12.75" customHeight="1">
      <c r="M775" s="4"/>
      <c r="O775" s="4"/>
    </row>
    <row r="776" ht="12.75" customHeight="1">
      <c r="M776" s="4"/>
      <c r="O776" s="4"/>
    </row>
    <row r="777" ht="12.75" customHeight="1">
      <c r="M777" s="4"/>
      <c r="O777" s="4"/>
    </row>
    <row r="778" ht="12.75" customHeight="1">
      <c r="M778" s="4"/>
      <c r="O778" s="4"/>
    </row>
    <row r="779" ht="12.75" customHeight="1">
      <c r="M779" s="4"/>
      <c r="O779" s="4"/>
    </row>
    <row r="780" ht="12.75" customHeight="1">
      <c r="M780" s="4"/>
      <c r="O780" s="4"/>
    </row>
    <row r="781" ht="12.75" customHeight="1">
      <c r="M781" s="4"/>
      <c r="O781" s="4"/>
    </row>
    <row r="782" ht="12.75" customHeight="1">
      <c r="M782" s="4"/>
      <c r="O782" s="4"/>
    </row>
    <row r="783" ht="12.75" customHeight="1">
      <c r="M783" s="4"/>
      <c r="O783" s="4"/>
    </row>
    <row r="784" ht="12.75" customHeight="1">
      <c r="M784" s="4"/>
      <c r="O784" s="4"/>
    </row>
    <row r="785" ht="12.75" customHeight="1">
      <c r="M785" s="4"/>
      <c r="O785" s="4"/>
    </row>
    <row r="786" ht="12.75" customHeight="1">
      <c r="M786" s="4"/>
      <c r="O786" s="4"/>
    </row>
    <row r="787" ht="12.75" customHeight="1">
      <c r="M787" s="4"/>
      <c r="O787" s="4"/>
    </row>
    <row r="788" ht="12.75" customHeight="1">
      <c r="M788" s="4"/>
      <c r="O788" s="4"/>
    </row>
    <row r="789" ht="12.75" customHeight="1">
      <c r="M789" s="4"/>
      <c r="O789" s="4"/>
    </row>
    <row r="790" ht="12.75" customHeight="1">
      <c r="M790" s="4"/>
      <c r="O790" s="4"/>
    </row>
    <row r="791" ht="12.75" customHeight="1">
      <c r="M791" s="4"/>
      <c r="O791" s="4"/>
    </row>
    <row r="792" ht="12.75" customHeight="1">
      <c r="M792" s="4"/>
      <c r="O792" s="4"/>
    </row>
    <row r="793" ht="12.75" customHeight="1">
      <c r="M793" s="4"/>
      <c r="O793" s="4"/>
    </row>
    <row r="794" ht="12.75" customHeight="1">
      <c r="M794" s="4"/>
      <c r="O794" s="4"/>
    </row>
    <row r="795" ht="12.75" customHeight="1">
      <c r="M795" s="4"/>
      <c r="O795" s="4"/>
    </row>
    <row r="796" ht="12.75" customHeight="1">
      <c r="M796" s="4"/>
      <c r="O796" s="4"/>
    </row>
    <row r="797" ht="12.75" customHeight="1">
      <c r="M797" s="4"/>
      <c r="O797" s="4"/>
    </row>
    <row r="798" ht="12.75" customHeight="1">
      <c r="M798" s="4"/>
      <c r="O798" s="4"/>
    </row>
    <row r="799" ht="12.75" customHeight="1">
      <c r="M799" s="4"/>
      <c r="O799" s="4"/>
    </row>
    <row r="800" ht="12.75" customHeight="1">
      <c r="M800" s="4"/>
      <c r="O800" s="4"/>
    </row>
    <row r="801" ht="12.75" customHeight="1">
      <c r="M801" s="4"/>
      <c r="O801" s="4"/>
    </row>
    <row r="802" ht="12.75" customHeight="1">
      <c r="M802" s="4"/>
      <c r="O802" s="4"/>
    </row>
    <row r="803" ht="12.75" customHeight="1">
      <c r="M803" s="4"/>
      <c r="O803" s="4"/>
    </row>
    <row r="804" ht="12.75" customHeight="1">
      <c r="M804" s="4"/>
      <c r="O804" s="4"/>
    </row>
    <row r="805" ht="12.75" customHeight="1">
      <c r="M805" s="4"/>
      <c r="O805" s="4"/>
    </row>
    <row r="806" ht="12.75" customHeight="1">
      <c r="M806" s="4"/>
      <c r="O806" s="4"/>
    </row>
    <row r="807" ht="12.75" customHeight="1">
      <c r="M807" s="4"/>
      <c r="O807" s="4"/>
    </row>
    <row r="808" ht="12.75" customHeight="1">
      <c r="M808" s="4"/>
      <c r="O808" s="4"/>
    </row>
    <row r="809" ht="12.75" customHeight="1">
      <c r="M809" s="4"/>
      <c r="O809" s="4"/>
    </row>
    <row r="810" ht="12.75" customHeight="1">
      <c r="M810" s="4"/>
      <c r="O810" s="4"/>
    </row>
    <row r="811" ht="12.75" customHeight="1">
      <c r="M811" s="4"/>
      <c r="O811" s="4"/>
    </row>
    <row r="812" ht="12.75" customHeight="1">
      <c r="M812" s="4"/>
      <c r="O812" s="4"/>
    </row>
    <row r="813" ht="12.75" customHeight="1">
      <c r="M813" s="4"/>
      <c r="O813" s="4"/>
    </row>
    <row r="814" ht="12.75" customHeight="1">
      <c r="M814" s="4"/>
      <c r="O814" s="4"/>
    </row>
    <row r="815" ht="12.75" customHeight="1">
      <c r="M815" s="4"/>
      <c r="O815" s="4"/>
    </row>
    <row r="816" ht="12.75" customHeight="1">
      <c r="M816" s="4"/>
      <c r="O816" s="4"/>
    </row>
    <row r="817" ht="12.75" customHeight="1">
      <c r="M817" s="4"/>
      <c r="O817" s="4"/>
    </row>
    <row r="818" ht="12.75" customHeight="1">
      <c r="M818" s="4"/>
      <c r="O818" s="4"/>
    </row>
    <row r="819" ht="12.75" customHeight="1">
      <c r="M819" s="4"/>
      <c r="O819" s="4"/>
    </row>
    <row r="820" ht="12.75" customHeight="1">
      <c r="M820" s="4"/>
      <c r="O820" s="4"/>
    </row>
    <row r="821" ht="12.75" customHeight="1">
      <c r="M821" s="4"/>
      <c r="O821" s="4"/>
    </row>
    <row r="822" ht="12.75" customHeight="1">
      <c r="M822" s="4"/>
      <c r="O822" s="4"/>
    </row>
    <row r="823" ht="12.75" customHeight="1">
      <c r="M823" s="4"/>
      <c r="O823" s="4"/>
    </row>
    <row r="824" ht="12.75" customHeight="1">
      <c r="M824" s="4"/>
      <c r="O824" s="4"/>
    </row>
    <row r="825" ht="12.75" customHeight="1">
      <c r="M825" s="4"/>
      <c r="O825" s="4"/>
    </row>
    <row r="826" ht="12.75" customHeight="1">
      <c r="M826" s="4"/>
      <c r="O826" s="4"/>
    </row>
    <row r="827" ht="12.75" customHeight="1">
      <c r="M827" s="4"/>
      <c r="O827" s="4"/>
    </row>
    <row r="828" ht="12.75" customHeight="1">
      <c r="M828" s="4"/>
      <c r="O828" s="4"/>
    </row>
    <row r="829" ht="12.75" customHeight="1">
      <c r="M829" s="4"/>
      <c r="O829" s="4"/>
    </row>
    <row r="830" ht="12.75" customHeight="1">
      <c r="M830" s="4"/>
      <c r="O830" s="4"/>
    </row>
    <row r="831" ht="12.75" customHeight="1">
      <c r="M831" s="4"/>
      <c r="O831" s="4"/>
    </row>
    <row r="832" ht="12.75" customHeight="1">
      <c r="M832" s="4"/>
      <c r="O832" s="4"/>
    </row>
    <row r="833" ht="12.75" customHeight="1">
      <c r="M833" s="4"/>
      <c r="O833" s="4"/>
    </row>
    <row r="834" ht="12.75" customHeight="1">
      <c r="M834" s="4"/>
      <c r="O834" s="4"/>
    </row>
    <row r="835" ht="12.75" customHeight="1">
      <c r="M835" s="4"/>
      <c r="O835" s="4"/>
    </row>
    <row r="836" ht="12.75" customHeight="1">
      <c r="M836" s="4"/>
      <c r="O836" s="4"/>
    </row>
    <row r="837" ht="12.75" customHeight="1">
      <c r="M837" s="4"/>
      <c r="O837" s="4"/>
    </row>
    <row r="838" ht="12.75" customHeight="1">
      <c r="M838" s="4"/>
      <c r="O838" s="4"/>
    </row>
    <row r="839" ht="12.75" customHeight="1">
      <c r="M839" s="4"/>
      <c r="O839" s="4"/>
    </row>
    <row r="840" ht="12.75" customHeight="1">
      <c r="M840" s="4"/>
      <c r="O840" s="4"/>
    </row>
    <row r="841" ht="12.75" customHeight="1">
      <c r="M841" s="4"/>
      <c r="O841" s="4"/>
    </row>
    <row r="842" ht="12.75" customHeight="1">
      <c r="M842" s="4"/>
      <c r="O842" s="4"/>
    </row>
    <row r="843" ht="12.75" customHeight="1">
      <c r="M843" s="4"/>
      <c r="O843" s="4"/>
    </row>
    <row r="844" ht="12.75" customHeight="1">
      <c r="M844" s="4"/>
      <c r="O844" s="4"/>
    </row>
    <row r="845" ht="12.75" customHeight="1">
      <c r="M845" s="4"/>
      <c r="O845" s="4"/>
    </row>
    <row r="846" ht="12.75" customHeight="1">
      <c r="M846" s="4"/>
      <c r="O846" s="4"/>
    </row>
    <row r="847" ht="12.75" customHeight="1">
      <c r="M847" s="4"/>
      <c r="O847" s="4"/>
    </row>
    <row r="848" ht="12.75" customHeight="1">
      <c r="M848" s="4"/>
      <c r="O848" s="4"/>
    </row>
    <row r="849" ht="12.75" customHeight="1">
      <c r="M849" s="4"/>
      <c r="O849" s="4"/>
    </row>
    <row r="850" ht="12.75" customHeight="1">
      <c r="M850" s="4"/>
      <c r="O850" s="4"/>
    </row>
    <row r="851" ht="12.75" customHeight="1">
      <c r="M851" s="4"/>
      <c r="O851" s="4"/>
    </row>
    <row r="852" ht="12.75" customHeight="1">
      <c r="M852" s="4"/>
      <c r="O852" s="4"/>
    </row>
    <row r="853" ht="12.75" customHeight="1">
      <c r="M853" s="4"/>
      <c r="O853" s="4"/>
    </row>
    <row r="854" ht="12.75" customHeight="1">
      <c r="M854" s="4"/>
      <c r="O854" s="4"/>
    </row>
    <row r="855" ht="12.75" customHeight="1">
      <c r="M855" s="4"/>
      <c r="O855" s="4"/>
    </row>
    <row r="856" ht="12.75" customHeight="1">
      <c r="M856" s="4"/>
      <c r="O856" s="4"/>
    </row>
    <row r="857" ht="12.75" customHeight="1">
      <c r="M857" s="4"/>
      <c r="O857" s="4"/>
    </row>
    <row r="858" ht="12.75" customHeight="1">
      <c r="M858" s="4"/>
      <c r="O858" s="4"/>
    </row>
    <row r="859" ht="12.75" customHeight="1">
      <c r="M859" s="4"/>
      <c r="O859" s="4"/>
    </row>
    <row r="860" ht="12.75" customHeight="1">
      <c r="M860" s="4"/>
      <c r="O860" s="4"/>
    </row>
    <row r="861" ht="12.75" customHeight="1">
      <c r="M861" s="4"/>
      <c r="O861" s="4"/>
    </row>
    <row r="862" ht="12.75" customHeight="1">
      <c r="M862" s="4"/>
      <c r="O862" s="4"/>
    </row>
    <row r="863" ht="12.75" customHeight="1">
      <c r="M863" s="4"/>
      <c r="O863" s="4"/>
    </row>
    <row r="864" ht="12.75" customHeight="1">
      <c r="M864" s="4"/>
      <c r="O864" s="4"/>
    </row>
    <row r="865" ht="12.75" customHeight="1">
      <c r="M865" s="4"/>
      <c r="O865" s="4"/>
    </row>
    <row r="866" ht="12.75" customHeight="1">
      <c r="M866" s="4"/>
      <c r="O866" s="4"/>
    </row>
    <row r="867" ht="12.75" customHeight="1">
      <c r="M867" s="4"/>
      <c r="O867" s="4"/>
    </row>
    <row r="868" ht="12.75" customHeight="1">
      <c r="M868" s="4"/>
      <c r="O868" s="4"/>
    </row>
    <row r="869" ht="12.75" customHeight="1">
      <c r="M869" s="4"/>
      <c r="O869" s="4"/>
    </row>
    <row r="870" ht="12.75" customHeight="1">
      <c r="M870" s="4"/>
      <c r="O870" s="4"/>
    </row>
    <row r="871" ht="12.75" customHeight="1">
      <c r="M871" s="4"/>
      <c r="O871" s="4"/>
    </row>
    <row r="872" ht="12.75" customHeight="1">
      <c r="M872" s="4"/>
      <c r="O872" s="4"/>
    </row>
    <row r="873" ht="12.75" customHeight="1">
      <c r="M873" s="4"/>
      <c r="O873" s="4"/>
    </row>
    <row r="874" ht="12.75" customHeight="1">
      <c r="M874" s="4"/>
      <c r="O874" s="4"/>
    </row>
    <row r="875" ht="12.75" customHeight="1">
      <c r="M875" s="4"/>
      <c r="O875" s="4"/>
    </row>
    <row r="876" ht="12.75" customHeight="1">
      <c r="M876" s="4"/>
      <c r="O876" s="4"/>
    </row>
    <row r="877" ht="12.75" customHeight="1">
      <c r="M877" s="4"/>
      <c r="O877" s="4"/>
    </row>
    <row r="878" ht="12.75" customHeight="1">
      <c r="M878" s="4"/>
      <c r="O878" s="4"/>
    </row>
    <row r="879" ht="12.75" customHeight="1">
      <c r="M879" s="4"/>
      <c r="O879" s="4"/>
    </row>
    <row r="880" ht="12.75" customHeight="1">
      <c r="M880" s="4"/>
      <c r="O880" s="4"/>
    </row>
    <row r="881" ht="12.75" customHeight="1">
      <c r="M881" s="4"/>
      <c r="O881" s="4"/>
    </row>
    <row r="882" ht="12.75" customHeight="1">
      <c r="M882" s="4"/>
      <c r="O882" s="4"/>
    </row>
    <row r="883" ht="12.75" customHeight="1">
      <c r="M883" s="4"/>
      <c r="O883" s="4"/>
    </row>
    <row r="884" ht="12.75" customHeight="1">
      <c r="M884" s="4"/>
      <c r="O884" s="4"/>
    </row>
    <row r="885" ht="12.75" customHeight="1">
      <c r="M885" s="4"/>
      <c r="O885" s="4"/>
    </row>
    <row r="886" ht="12.75" customHeight="1">
      <c r="M886" s="4"/>
      <c r="O886" s="4"/>
    </row>
    <row r="887" ht="12.75" customHeight="1">
      <c r="M887" s="4"/>
      <c r="O887" s="4"/>
    </row>
    <row r="888" ht="12.75" customHeight="1">
      <c r="M888" s="4"/>
      <c r="O888" s="4"/>
    </row>
    <row r="889" ht="12.75" customHeight="1">
      <c r="M889" s="4"/>
      <c r="O889" s="4"/>
    </row>
    <row r="890" ht="12.75" customHeight="1">
      <c r="M890" s="4"/>
      <c r="O890" s="4"/>
    </row>
    <row r="891" ht="12.75" customHeight="1">
      <c r="M891" s="4"/>
      <c r="O891" s="4"/>
    </row>
    <row r="892" ht="12.75" customHeight="1">
      <c r="M892" s="4"/>
      <c r="O892" s="4"/>
    </row>
    <row r="893" ht="12.75" customHeight="1">
      <c r="M893" s="4"/>
      <c r="O893" s="4"/>
    </row>
    <row r="894" ht="12.75" customHeight="1">
      <c r="M894" s="4"/>
      <c r="O894" s="4"/>
    </row>
    <row r="895" ht="12.75" customHeight="1">
      <c r="M895" s="4"/>
      <c r="O895" s="4"/>
    </row>
    <row r="896" ht="12.75" customHeight="1">
      <c r="M896" s="4"/>
      <c r="O896" s="4"/>
    </row>
    <row r="897" ht="12.75" customHeight="1">
      <c r="M897" s="4"/>
      <c r="O897" s="4"/>
    </row>
    <row r="898" ht="12.75" customHeight="1">
      <c r="M898" s="4"/>
      <c r="O898" s="4"/>
    </row>
    <row r="899" ht="12.75" customHeight="1">
      <c r="M899" s="4"/>
      <c r="O899" s="4"/>
    </row>
    <row r="900" ht="12.75" customHeight="1">
      <c r="M900" s="4"/>
      <c r="O900" s="4"/>
    </row>
    <row r="901" ht="12.75" customHeight="1">
      <c r="M901" s="4"/>
      <c r="O901" s="4"/>
    </row>
    <row r="902" ht="12.75" customHeight="1">
      <c r="M902" s="4"/>
      <c r="O902" s="4"/>
    </row>
    <row r="903" ht="12.75" customHeight="1">
      <c r="M903" s="4"/>
      <c r="O903" s="4"/>
    </row>
    <row r="904" ht="12.75" customHeight="1">
      <c r="M904" s="4"/>
      <c r="O904" s="4"/>
    </row>
    <row r="905" ht="12.75" customHeight="1">
      <c r="M905" s="4"/>
      <c r="O905" s="4"/>
    </row>
    <row r="906" ht="12.75" customHeight="1">
      <c r="M906" s="4"/>
      <c r="O906" s="4"/>
    </row>
    <row r="907" ht="12.75" customHeight="1">
      <c r="M907" s="4"/>
      <c r="O907" s="4"/>
    </row>
    <row r="908" ht="12.75" customHeight="1">
      <c r="M908" s="4"/>
      <c r="O908" s="4"/>
    </row>
    <row r="909" ht="12.75" customHeight="1">
      <c r="M909" s="4"/>
      <c r="O909" s="4"/>
    </row>
    <row r="910" ht="12.75" customHeight="1">
      <c r="M910" s="4"/>
      <c r="O910" s="4"/>
    </row>
    <row r="911" ht="12.75" customHeight="1">
      <c r="M911" s="4"/>
      <c r="O911" s="4"/>
    </row>
    <row r="912" ht="12.75" customHeight="1">
      <c r="M912" s="4"/>
      <c r="O912" s="4"/>
    </row>
    <row r="913" ht="12.75" customHeight="1">
      <c r="M913" s="4"/>
      <c r="O913" s="4"/>
    </row>
    <row r="914" ht="12.75" customHeight="1">
      <c r="M914" s="4"/>
      <c r="O914" s="4"/>
    </row>
    <row r="915" ht="12.75" customHeight="1">
      <c r="M915" s="4"/>
      <c r="O915" s="4"/>
    </row>
    <row r="916" ht="12.75" customHeight="1">
      <c r="M916" s="4"/>
      <c r="O916" s="4"/>
    </row>
    <row r="917" ht="12.75" customHeight="1">
      <c r="M917" s="4"/>
      <c r="O917" s="4"/>
    </row>
    <row r="918" ht="12.75" customHeight="1">
      <c r="M918" s="4"/>
      <c r="O918" s="4"/>
    </row>
    <row r="919" ht="12.75" customHeight="1">
      <c r="M919" s="4"/>
      <c r="O919" s="4"/>
    </row>
    <row r="920" ht="12.75" customHeight="1">
      <c r="M920" s="4"/>
      <c r="O920" s="4"/>
    </row>
    <row r="921" ht="12.75" customHeight="1">
      <c r="M921" s="4"/>
      <c r="O921" s="4"/>
    </row>
    <row r="922" ht="12.75" customHeight="1">
      <c r="M922" s="4"/>
      <c r="O922" s="4"/>
    </row>
    <row r="923" ht="12.75" customHeight="1">
      <c r="M923" s="4"/>
      <c r="O923" s="4"/>
    </row>
    <row r="924" ht="12.75" customHeight="1">
      <c r="M924" s="4"/>
      <c r="O924" s="4"/>
    </row>
    <row r="925" ht="12.75" customHeight="1">
      <c r="M925" s="4"/>
      <c r="O925" s="4"/>
    </row>
    <row r="926" ht="12.75" customHeight="1">
      <c r="M926" s="4"/>
      <c r="O926" s="4"/>
    </row>
    <row r="927" ht="12.75" customHeight="1">
      <c r="M927" s="4"/>
      <c r="O927" s="4"/>
    </row>
    <row r="928" ht="12.75" customHeight="1">
      <c r="M928" s="4"/>
      <c r="O928" s="4"/>
    </row>
    <row r="929" ht="12.75" customHeight="1">
      <c r="M929" s="4"/>
      <c r="O929" s="4"/>
    </row>
    <row r="930" ht="12.75" customHeight="1">
      <c r="M930" s="4"/>
      <c r="O930" s="4"/>
    </row>
    <row r="931" ht="12.75" customHeight="1">
      <c r="M931" s="4"/>
      <c r="O931" s="4"/>
    </row>
    <row r="932" ht="12.75" customHeight="1">
      <c r="M932" s="4"/>
      <c r="O932" s="4"/>
    </row>
    <row r="933" ht="12.75" customHeight="1">
      <c r="M933" s="4"/>
      <c r="O933" s="4"/>
    </row>
    <row r="934" ht="12.75" customHeight="1">
      <c r="M934" s="4"/>
      <c r="O934" s="4"/>
    </row>
    <row r="935" ht="12.75" customHeight="1">
      <c r="M935" s="4"/>
      <c r="O935" s="4"/>
    </row>
    <row r="936" ht="12.75" customHeight="1">
      <c r="M936" s="4"/>
      <c r="O936" s="4"/>
    </row>
    <row r="937" ht="12.75" customHeight="1">
      <c r="M937" s="4"/>
      <c r="O937" s="4"/>
    </row>
    <row r="938" ht="12.75" customHeight="1">
      <c r="M938" s="4"/>
      <c r="O938" s="4"/>
    </row>
    <row r="939" ht="12.75" customHeight="1">
      <c r="M939" s="4"/>
      <c r="O939" s="4"/>
    </row>
    <row r="940" ht="12.75" customHeight="1">
      <c r="M940" s="4"/>
      <c r="O940" s="4"/>
    </row>
    <row r="941" ht="12.75" customHeight="1">
      <c r="M941" s="4"/>
      <c r="O941" s="4"/>
    </row>
    <row r="942" ht="12.75" customHeight="1">
      <c r="M942" s="4"/>
      <c r="O942" s="4"/>
    </row>
    <row r="943" ht="12.75" customHeight="1">
      <c r="M943" s="4"/>
      <c r="O943" s="4"/>
    </row>
    <row r="944" ht="12.75" customHeight="1">
      <c r="M944" s="4"/>
      <c r="O944" s="4"/>
    </row>
    <row r="945" ht="12.75" customHeight="1">
      <c r="M945" s="4"/>
      <c r="O945" s="4"/>
    </row>
    <row r="946" ht="12.75" customHeight="1">
      <c r="M946" s="4"/>
      <c r="O946" s="4"/>
    </row>
    <row r="947" ht="12.75" customHeight="1">
      <c r="M947" s="4"/>
      <c r="O947" s="4"/>
    </row>
    <row r="948" ht="12.75" customHeight="1">
      <c r="M948" s="4"/>
      <c r="O948" s="4"/>
    </row>
    <row r="949" ht="12.75" customHeight="1">
      <c r="M949" s="4"/>
      <c r="O949" s="4"/>
    </row>
    <row r="950" ht="12.75" customHeight="1">
      <c r="M950" s="4"/>
      <c r="O950" s="4"/>
    </row>
    <row r="951" ht="12.75" customHeight="1">
      <c r="M951" s="4"/>
      <c r="O951" s="4"/>
    </row>
    <row r="952" ht="12.75" customHeight="1">
      <c r="M952" s="4"/>
      <c r="O952" s="4"/>
    </row>
    <row r="953" ht="12.75" customHeight="1">
      <c r="M953" s="4"/>
      <c r="O953" s="4"/>
    </row>
    <row r="954" ht="12.75" customHeight="1">
      <c r="M954" s="4"/>
      <c r="O954" s="4"/>
    </row>
    <row r="955" ht="12.75" customHeight="1">
      <c r="M955" s="4"/>
      <c r="O955" s="4"/>
    </row>
    <row r="956" ht="12.75" customHeight="1">
      <c r="M956" s="4"/>
      <c r="O956" s="4"/>
    </row>
    <row r="957" ht="12.75" customHeight="1">
      <c r="M957" s="4"/>
      <c r="O957" s="4"/>
    </row>
    <row r="958" ht="12.75" customHeight="1">
      <c r="M958" s="4"/>
      <c r="O958" s="4"/>
    </row>
    <row r="959" ht="12.75" customHeight="1">
      <c r="M959" s="4"/>
      <c r="O959" s="4"/>
    </row>
    <row r="960" ht="12.75" customHeight="1">
      <c r="M960" s="4"/>
      <c r="O960" s="4"/>
    </row>
    <row r="961" ht="12.75" customHeight="1">
      <c r="M961" s="4"/>
      <c r="O961" s="4"/>
    </row>
    <row r="962" ht="12.75" customHeight="1">
      <c r="M962" s="4"/>
      <c r="O962" s="4"/>
    </row>
    <row r="963" ht="12.75" customHeight="1">
      <c r="M963" s="4"/>
      <c r="O963" s="4"/>
    </row>
    <row r="964" ht="12.75" customHeight="1">
      <c r="M964" s="4"/>
      <c r="O964" s="4"/>
    </row>
    <row r="965" ht="12.75" customHeight="1">
      <c r="M965" s="4"/>
      <c r="O965" s="4"/>
    </row>
    <row r="966" ht="12.75" customHeight="1">
      <c r="M966" s="4"/>
      <c r="O966" s="4"/>
    </row>
    <row r="967" ht="12.75" customHeight="1">
      <c r="M967" s="4"/>
      <c r="O967" s="4"/>
    </row>
    <row r="968" ht="12.75" customHeight="1">
      <c r="M968" s="4"/>
      <c r="O968" s="4"/>
    </row>
    <row r="969" ht="12.75" customHeight="1">
      <c r="M969" s="4"/>
      <c r="O969" s="4"/>
    </row>
    <row r="970" ht="12.75" customHeight="1">
      <c r="M970" s="4"/>
      <c r="O970" s="4"/>
    </row>
    <row r="971" ht="12.75" customHeight="1">
      <c r="M971" s="4"/>
      <c r="O971" s="4"/>
    </row>
    <row r="972" ht="12.75" customHeight="1">
      <c r="M972" s="4"/>
      <c r="O972" s="4"/>
    </row>
    <row r="973" ht="12.75" customHeight="1">
      <c r="M973" s="4"/>
      <c r="O973" s="4"/>
    </row>
    <row r="974" ht="12.75" customHeight="1">
      <c r="M974" s="4"/>
      <c r="O974" s="4"/>
    </row>
    <row r="975" ht="12.75" customHeight="1">
      <c r="M975" s="4"/>
      <c r="O975" s="4"/>
    </row>
    <row r="976" ht="12.75" customHeight="1">
      <c r="M976" s="4"/>
      <c r="O976" s="4"/>
    </row>
    <row r="977" ht="12.75" customHeight="1">
      <c r="M977" s="4"/>
      <c r="O977" s="4"/>
    </row>
    <row r="978" ht="12.75" customHeight="1">
      <c r="M978" s="4"/>
      <c r="O978" s="4"/>
    </row>
    <row r="979" ht="12.75" customHeight="1">
      <c r="M979" s="4"/>
      <c r="O979" s="4"/>
    </row>
    <row r="980" ht="12.75" customHeight="1">
      <c r="M980" s="4"/>
      <c r="O980" s="4"/>
    </row>
    <row r="981" ht="12.75" customHeight="1">
      <c r="M981" s="4"/>
      <c r="O981" s="4"/>
    </row>
    <row r="982" ht="12.75" customHeight="1">
      <c r="M982" s="4"/>
      <c r="O982" s="4"/>
    </row>
    <row r="983" ht="12.75" customHeight="1">
      <c r="M983" s="4"/>
      <c r="O983" s="4"/>
    </row>
    <row r="984" ht="12.75" customHeight="1">
      <c r="M984" s="4"/>
      <c r="O984" s="4"/>
    </row>
    <row r="985" ht="12.75" customHeight="1">
      <c r="M985" s="4"/>
      <c r="O985" s="4"/>
    </row>
    <row r="986" ht="12.75" customHeight="1">
      <c r="M986" s="4"/>
      <c r="O986" s="4"/>
    </row>
    <row r="987" ht="12.75" customHeight="1">
      <c r="M987" s="4"/>
      <c r="O987" s="4"/>
    </row>
    <row r="988" ht="12.75" customHeight="1">
      <c r="M988" s="4"/>
      <c r="O988" s="4"/>
    </row>
    <row r="989" ht="12.75" customHeight="1">
      <c r="M989" s="4"/>
      <c r="O989" s="4"/>
    </row>
    <row r="990" ht="12.75" customHeight="1">
      <c r="M990" s="4"/>
      <c r="O990" s="4"/>
    </row>
    <row r="991" ht="12.75" customHeight="1">
      <c r="M991" s="4"/>
      <c r="O991" s="4"/>
    </row>
    <row r="992" ht="12.75" customHeight="1">
      <c r="M992" s="4"/>
      <c r="O992" s="4"/>
    </row>
    <row r="993" ht="12.75" customHeight="1">
      <c r="M993" s="4"/>
      <c r="O993" s="4"/>
    </row>
    <row r="994" ht="12.75" customHeight="1">
      <c r="M994" s="4"/>
      <c r="O994" s="4"/>
    </row>
    <row r="995" ht="12.75" customHeight="1">
      <c r="M995" s="4"/>
      <c r="O995" s="4"/>
    </row>
    <row r="996" ht="12.75" customHeight="1">
      <c r="M996" s="4"/>
      <c r="O996" s="4"/>
    </row>
    <row r="997" ht="12.75" customHeight="1">
      <c r="M997" s="4"/>
      <c r="O997" s="4"/>
    </row>
    <row r="998" ht="12.75" customHeight="1">
      <c r="M998" s="4"/>
      <c r="O998" s="4"/>
    </row>
    <row r="999" ht="12.75" customHeight="1">
      <c r="M999" s="4"/>
      <c r="O999" s="4"/>
    </row>
    <row r="1000" ht="12.75" customHeight="1">
      <c r="M1000" s="4"/>
      <c r="O1000" s="4"/>
    </row>
  </sheetData>
  <mergeCells count="2">
    <mergeCell ref="E2:I2"/>
    <mergeCell ref="E23:I23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2" width="8.0"/>
    <col customWidth="1" min="3" max="4" width="11.43"/>
    <col customWidth="1" min="5" max="7" width="8.0"/>
    <col customWidth="1" min="8" max="8" width="10.86"/>
    <col customWidth="1" min="9" max="9" width="8.0"/>
    <col customWidth="1" min="10" max="10" width="18.43"/>
    <col customWidth="1" min="11" max="13" width="8.0"/>
    <col customWidth="1" min="14" max="14" width="10.29"/>
    <col customWidth="1" min="15" max="26" width="8.0"/>
    <col customWidth="1" min="27" max="27" width="12.43"/>
    <col customWidth="1" min="28" max="85" width="8.0"/>
  </cols>
  <sheetData>
    <row r="1" ht="15.0" customHeight="1">
      <c r="A1" s="1" t="s">
        <v>11</v>
      </c>
      <c r="B1" s="1" t="s">
        <v>12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8"/>
      <c r="Q1" s="1"/>
      <c r="R1" s="1"/>
      <c r="S1" s="1"/>
      <c r="T1" s="1"/>
      <c r="U1" s="9" t="s">
        <v>13</v>
      </c>
      <c r="V1" s="9" t="s">
        <v>14</v>
      </c>
      <c r="W1" s="9" t="s">
        <v>15</v>
      </c>
      <c r="X1" s="9" t="s">
        <v>16</v>
      </c>
      <c r="Y1" s="9" t="s">
        <v>17</v>
      </c>
      <c r="Z1" s="9" t="s">
        <v>18</v>
      </c>
      <c r="AA1" s="9" t="s">
        <v>19</v>
      </c>
      <c r="AB1" s="9" t="s">
        <v>20</v>
      </c>
      <c r="AC1" s="9" t="s">
        <v>21</v>
      </c>
      <c r="AD1" s="9" t="s">
        <v>22</v>
      </c>
      <c r="AE1" s="9" t="s">
        <v>23</v>
      </c>
      <c r="AF1" s="9" t="s">
        <v>24</v>
      </c>
      <c r="AG1" s="9" t="s">
        <v>25</v>
      </c>
      <c r="AH1" s="9" t="s">
        <v>26</v>
      </c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</row>
    <row r="2" ht="12.75" customHeight="1">
      <c r="A2" s="1">
        <v>110.0</v>
      </c>
      <c r="B2" s="1">
        <v>1.16</v>
      </c>
      <c r="C2" s="10" t="s">
        <v>27</v>
      </c>
      <c r="D2" s="11"/>
      <c r="E2" s="11"/>
      <c r="F2" s="12"/>
      <c r="G2" s="13">
        <v>160.0</v>
      </c>
      <c r="H2" s="14" t="s">
        <v>28</v>
      </c>
      <c r="J2" s="15"/>
      <c r="K2" s="16">
        <v>1.0</v>
      </c>
      <c r="L2" s="1"/>
      <c r="M2" s="1"/>
      <c r="N2" s="1"/>
      <c r="O2" s="1"/>
      <c r="P2" s="8"/>
      <c r="Q2" s="1"/>
      <c r="R2" s="1"/>
      <c r="S2" s="1"/>
      <c r="T2" s="1"/>
      <c r="U2" s="2" t="str">
        <f t="shared" ref="U2:U18" si="1">E22/U22/1000</f>
        <v>0.15625</v>
      </c>
      <c r="V2" s="2" t="str">
        <f t="shared" ref="V2:V18" si="2">F22/U22/1000</f>
        <v>0.2125</v>
      </c>
      <c r="W2" s="1">
        <v>1.0</v>
      </c>
      <c r="X2" s="2" t="str">
        <f>G4/2</f>
        <v>1</v>
      </c>
      <c r="Y2" s="2" t="str">
        <f t="shared" ref="Y2:Y18" si="3">X2*W2</f>
        <v>1</v>
      </c>
      <c r="Z2" s="2" t="str">
        <f>G5</f>
        <v>7</v>
      </c>
      <c r="AA2" s="2" t="str">
        <f>G7</f>
        <v>6</v>
      </c>
      <c r="AB2" s="2" t="str">
        <f t="shared" ref="AB2:AB18" si="5">Z2*W2</f>
        <v>7</v>
      </c>
      <c r="AC2" s="2" t="str">
        <f t="shared" ref="AC2:AC18" si="6">AB2/(1-AD2)</f>
        <v>10.44776119</v>
      </c>
      <c r="AD2" s="2" t="str">
        <f t="shared" ref="AD2:AD18" si="7">CF22</f>
        <v>0.33</v>
      </c>
      <c r="AE2" s="2" t="str">
        <f t="shared" ref="AE2:AE18" si="8">ATAN((1-AD2)/AB2)*180/3.1415</f>
        <v>5.467530523</v>
      </c>
      <c r="AF2" s="1" t="str">
        <f t="shared" ref="AF2:AF18" si="9">SQRT((AB2*AA2)*(AB2*AA2)+(AA2*AD2)*(AA2*AD2))</f>
        <v>42.04664553</v>
      </c>
      <c r="AG2" s="2" t="str">
        <f t="shared" ref="AG2:AG18" si="10">CF22</f>
        <v>0.33</v>
      </c>
      <c r="AH2" s="2" t="str">
        <f>G6</f>
        <v>2</v>
      </c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</row>
    <row r="3" ht="12.75" customHeight="1">
      <c r="A3" s="1">
        <v>160.0</v>
      </c>
      <c r="B3" s="1">
        <v>2.15</v>
      </c>
      <c r="C3" s="10" t="s">
        <v>29</v>
      </c>
      <c r="D3" s="11"/>
      <c r="E3" s="11"/>
      <c r="F3" s="12"/>
      <c r="G3" s="13">
        <v>2.15</v>
      </c>
      <c r="H3" s="1"/>
      <c r="I3" s="1"/>
      <c r="J3" s="1"/>
      <c r="K3" s="1"/>
      <c r="L3" s="1"/>
      <c r="M3" s="1"/>
      <c r="N3" s="1"/>
      <c r="O3" s="1"/>
      <c r="P3" s="8"/>
      <c r="Q3" s="1"/>
      <c r="R3" s="1"/>
      <c r="S3" s="1"/>
      <c r="T3" s="1"/>
      <c r="U3" s="2" t="str">
        <f t="shared" si="1"/>
        <v>0.1591796875</v>
      </c>
      <c r="V3" s="2" t="str">
        <f t="shared" si="2"/>
        <v>0.2224609375</v>
      </c>
      <c r="W3" s="2" t="str">
        <f t="shared" ref="W3:W18" si="11">W2-0.05</f>
        <v>0.95</v>
      </c>
      <c r="X3" s="2" t="str">
        <f t="shared" ref="X3:X18" si="12">X2</f>
        <v>1</v>
      </c>
      <c r="Y3" s="2" t="str">
        <f t="shared" si="3"/>
        <v>0.95</v>
      </c>
      <c r="Z3" s="2" t="str">
        <f t="shared" ref="Z3:AA3" si="4">Z2</f>
        <v>7</v>
      </c>
      <c r="AA3" s="2" t="str">
        <f t="shared" si="4"/>
        <v>6</v>
      </c>
      <c r="AB3" s="2" t="str">
        <f t="shared" si="5"/>
        <v>6.65</v>
      </c>
      <c r="AC3" s="2" t="str">
        <f t="shared" si="6"/>
        <v>9.971883786</v>
      </c>
      <c r="AD3" s="2" t="str">
        <f t="shared" si="7"/>
        <v>0.333125</v>
      </c>
      <c r="AE3" s="2" t="str">
        <f t="shared" si="8"/>
        <v>5.726756464</v>
      </c>
      <c r="AF3" s="1" t="str">
        <f t="shared" si="9"/>
        <v>39.95003131</v>
      </c>
      <c r="AG3" s="2" t="str">
        <f t="shared" si="10"/>
        <v>0.333125</v>
      </c>
      <c r="AH3" s="2" t="str">
        <f t="shared" ref="AH3:AH18" si="14">AH2</f>
        <v>2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</row>
    <row r="4" ht="12.75" customHeight="1">
      <c r="A4" s="1">
        <v>200.0</v>
      </c>
      <c r="B4" s="1">
        <v>3.3</v>
      </c>
      <c r="C4" s="10" t="s">
        <v>30</v>
      </c>
      <c r="D4" s="11"/>
      <c r="E4" s="11"/>
      <c r="F4" s="12"/>
      <c r="G4" s="13">
        <v>2.0</v>
      </c>
      <c r="H4" s="1"/>
      <c r="I4" s="1"/>
      <c r="J4" s="1"/>
      <c r="K4" s="1"/>
      <c r="L4" s="1"/>
      <c r="M4" s="1"/>
      <c r="N4" s="1"/>
      <c r="O4" s="1"/>
      <c r="P4" s="8"/>
      <c r="Q4" s="1"/>
      <c r="R4" s="1"/>
      <c r="S4" s="1"/>
      <c r="T4" s="1"/>
      <c r="U4" s="2" t="str">
        <f t="shared" si="1"/>
        <v>0.1639583333</v>
      </c>
      <c r="V4" s="2" t="str">
        <f t="shared" si="2"/>
        <v>0.231875</v>
      </c>
      <c r="W4" s="2" t="str">
        <f t="shared" si="11"/>
        <v>0.9</v>
      </c>
      <c r="X4" s="2" t="str">
        <f t="shared" si="12"/>
        <v>1</v>
      </c>
      <c r="Y4" s="2" t="str">
        <f t="shared" si="3"/>
        <v>0.9</v>
      </c>
      <c r="Z4" s="2" t="str">
        <f t="shared" ref="Z4:AA4" si="13">Z3</f>
        <v>7</v>
      </c>
      <c r="AA4" s="2" t="str">
        <f t="shared" si="13"/>
        <v>6</v>
      </c>
      <c r="AB4" s="2" t="str">
        <f t="shared" si="5"/>
        <v>6.3</v>
      </c>
      <c r="AC4" s="2" t="str">
        <f t="shared" si="6"/>
        <v>9.468937876</v>
      </c>
      <c r="AD4" s="2" t="str">
        <f t="shared" si="7"/>
        <v>0.3346666667</v>
      </c>
      <c r="AE4" s="2" t="str">
        <f t="shared" si="8"/>
        <v>6.028750913</v>
      </c>
      <c r="AF4" s="1" t="str">
        <f t="shared" si="9"/>
        <v>37.85329661</v>
      </c>
      <c r="AG4" s="2" t="str">
        <f t="shared" si="10"/>
        <v>0.3346666667</v>
      </c>
      <c r="AH4" s="2" t="str">
        <f t="shared" si="14"/>
        <v>2</v>
      </c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</row>
    <row r="5" ht="12.75" customHeight="1">
      <c r="A5" s="1">
        <v>250.0</v>
      </c>
      <c r="B5" s="1">
        <v>5.0</v>
      </c>
      <c r="C5" s="10" t="s">
        <v>18</v>
      </c>
      <c r="D5" s="11"/>
      <c r="E5" s="11"/>
      <c r="F5" s="12"/>
      <c r="G5" s="13">
        <v>7.0</v>
      </c>
      <c r="H5" s="1"/>
      <c r="I5" s="1"/>
      <c r="J5" s="1"/>
      <c r="K5" s="1"/>
      <c r="L5" s="1"/>
      <c r="M5" s="1"/>
      <c r="N5" s="1"/>
      <c r="O5" s="1"/>
      <c r="P5" s="8"/>
      <c r="Q5" s="1"/>
      <c r="R5" s="1"/>
      <c r="S5" s="1"/>
      <c r="T5" s="1"/>
      <c r="U5" s="2" t="str">
        <f t="shared" si="1"/>
        <v>0.1705859375</v>
      </c>
      <c r="V5" s="2" t="str">
        <f t="shared" si="2"/>
        <v>0.2407421875</v>
      </c>
      <c r="W5" s="2" t="str">
        <f t="shared" si="11"/>
        <v>0.85</v>
      </c>
      <c r="X5" s="2" t="str">
        <f t="shared" si="12"/>
        <v>1</v>
      </c>
      <c r="Y5" s="2" t="str">
        <f t="shared" si="3"/>
        <v>0.85</v>
      </c>
      <c r="Z5" s="2" t="str">
        <f t="shared" ref="Z5:AA5" si="15">Z4</f>
        <v>7</v>
      </c>
      <c r="AA5" s="2" t="str">
        <f t="shared" si="15"/>
        <v>6</v>
      </c>
      <c r="AB5" s="2" t="str">
        <f t="shared" si="5"/>
        <v>5.95</v>
      </c>
      <c r="AC5" s="2" t="str">
        <f t="shared" si="6"/>
        <v>8.942325756</v>
      </c>
      <c r="AD5" s="2" t="str">
        <f t="shared" si="7"/>
        <v>0.334625</v>
      </c>
      <c r="AE5" s="2" t="str">
        <f t="shared" si="8"/>
        <v>6.380935317</v>
      </c>
      <c r="AF5" s="1" t="str">
        <f t="shared" si="9"/>
        <v>35.75641285</v>
      </c>
      <c r="AG5" s="2" t="str">
        <f t="shared" si="10"/>
        <v>0.334625</v>
      </c>
      <c r="AH5" s="2" t="str">
        <f t="shared" si="14"/>
        <v>2</v>
      </c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</row>
    <row r="6" ht="12.75" customHeight="1">
      <c r="A6" s="1">
        <v>315.0</v>
      </c>
      <c r="B6" s="1">
        <v>7.4</v>
      </c>
      <c r="C6" s="10" t="s">
        <v>31</v>
      </c>
      <c r="D6" s="11"/>
      <c r="E6" s="11"/>
      <c r="F6" s="12"/>
      <c r="G6" s="16">
        <v>2.0</v>
      </c>
      <c r="H6" s="1"/>
      <c r="I6" s="1"/>
      <c r="J6" s="1"/>
      <c r="K6" s="1"/>
      <c r="L6" s="1"/>
      <c r="M6" s="1"/>
      <c r="N6" s="1"/>
      <c r="O6" s="1"/>
      <c r="P6" s="8"/>
      <c r="Q6" s="1"/>
      <c r="R6" s="1"/>
      <c r="S6" s="1"/>
      <c r="T6" s="1"/>
      <c r="U6" s="2" t="str">
        <f t="shared" si="1"/>
        <v>0.1790625</v>
      </c>
      <c r="V6" s="2" t="str">
        <f t="shared" si="2"/>
        <v>0.2490625</v>
      </c>
      <c r="W6" s="2" t="str">
        <f t="shared" si="11"/>
        <v>0.8</v>
      </c>
      <c r="X6" s="2" t="str">
        <f t="shared" si="12"/>
        <v>1</v>
      </c>
      <c r="Y6" s="2" t="str">
        <f t="shared" si="3"/>
        <v>0.8</v>
      </c>
      <c r="Z6" s="2" t="str">
        <f t="shared" ref="Z6:AA6" si="16">Z5</f>
        <v>7</v>
      </c>
      <c r="AA6" s="2" t="str">
        <f t="shared" si="16"/>
        <v>6</v>
      </c>
      <c r="AB6" s="2" t="str">
        <f t="shared" si="5"/>
        <v>5.6</v>
      </c>
      <c r="AC6" s="2" t="str">
        <f t="shared" si="6"/>
        <v>8.395802099</v>
      </c>
      <c r="AD6" s="2" t="str">
        <f t="shared" si="7"/>
        <v>0.333</v>
      </c>
      <c r="AE6" s="2" t="str">
        <f t="shared" si="8"/>
        <v>6.792537684</v>
      </c>
      <c r="AF6" s="1" t="str">
        <f t="shared" si="9"/>
        <v>33.6593524</v>
      </c>
      <c r="AG6" s="2" t="str">
        <f t="shared" si="10"/>
        <v>0.333</v>
      </c>
      <c r="AH6" s="2" t="str">
        <f t="shared" si="14"/>
        <v>2</v>
      </c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</row>
    <row r="7" ht="12.75" customHeight="1">
      <c r="A7" s="1">
        <v>400.0</v>
      </c>
      <c r="B7" s="1">
        <v>13.2</v>
      </c>
      <c r="C7" s="10" t="s">
        <v>32</v>
      </c>
      <c r="D7" s="11"/>
      <c r="E7" s="11"/>
      <c r="F7" s="12"/>
      <c r="G7" s="13">
        <v>6.0</v>
      </c>
      <c r="H7" s="1"/>
      <c r="I7" s="1"/>
      <c r="J7" s="1"/>
      <c r="K7" s="1"/>
      <c r="L7" s="1"/>
      <c r="M7" s="1"/>
      <c r="N7" s="1"/>
      <c r="O7" s="1"/>
      <c r="P7" s="8"/>
      <c r="Q7" s="1"/>
      <c r="R7" s="1"/>
      <c r="S7" s="1"/>
      <c r="T7" s="1"/>
      <c r="U7" s="2" t="str">
        <f t="shared" si="1"/>
        <v>0.1893880208</v>
      </c>
      <c r="V7" s="2" t="str">
        <f t="shared" si="2"/>
        <v>0.2568359375</v>
      </c>
      <c r="W7" s="2" t="str">
        <f t="shared" si="11"/>
        <v>0.75</v>
      </c>
      <c r="X7" s="2" t="str">
        <f t="shared" si="12"/>
        <v>1</v>
      </c>
      <c r="Y7" s="2" t="str">
        <f t="shared" si="3"/>
        <v>0.75</v>
      </c>
      <c r="Z7" s="2" t="str">
        <f t="shared" ref="Z7:AA7" si="17">Z6</f>
        <v>7</v>
      </c>
      <c r="AA7" s="2" t="str">
        <f t="shared" si="17"/>
        <v>6</v>
      </c>
      <c r="AB7" s="2" t="str">
        <f t="shared" si="5"/>
        <v>5.25</v>
      </c>
      <c r="AC7" s="2" t="str">
        <f t="shared" si="6"/>
        <v>7.833385141</v>
      </c>
      <c r="AD7" s="2" t="str">
        <f t="shared" si="7"/>
        <v>0.3297916667</v>
      </c>
      <c r="AE7" s="2" t="str">
        <f t="shared" si="8"/>
        <v>7.275171922</v>
      </c>
      <c r="AF7" s="1" t="str">
        <f t="shared" si="9"/>
        <v>31.56208883</v>
      </c>
      <c r="AG7" s="2" t="str">
        <f t="shared" si="10"/>
        <v>0.3297916667</v>
      </c>
      <c r="AH7" s="2" t="str">
        <f t="shared" si="14"/>
        <v>2</v>
      </c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</row>
    <row r="8" ht="12.75" customHeight="1">
      <c r="A8" s="1">
        <v>500.0</v>
      </c>
      <c r="B8" s="1">
        <v>20.79</v>
      </c>
      <c r="C8" s="10" t="s">
        <v>33</v>
      </c>
      <c r="D8" s="11"/>
      <c r="E8" s="11"/>
      <c r="F8" s="12"/>
      <c r="G8" s="17" t="s">
        <v>22</v>
      </c>
      <c r="H8" s="12"/>
      <c r="I8" s="10" t="s">
        <v>34</v>
      </c>
      <c r="J8" s="12"/>
      <c r="K8" s="16">
        <v>1.0</v>
      </c>
      <c r="L8" s="1"/>
      <c r="M8" s="1"/>
      <c r="N8" s="1"/>
      <c r="O8" s="1"/>
      <c r="P8" s="8"/>
      <c r="Q8" s="1"/>
      <c r="R8" s="1"/>
      <c r="S8" s="1"/>
      <c r="T8" s="1"/>
      <c r="U8" s="2" t="str">
        <f t="shared" si="1"/>
        <v>0.2015625</v>
      </c>
      <c r="V8" s="2" t="str">
        <f t="shared" si="2"/>
        <v>0.2640625</v>
      </c>
      <c r="W8" s="2" t="str">
        <f t="shared" si="11"/>
        <v>0.7</v>
      </c>
      <c r="X8" s="2" t="str">
        <f t="shared" si="12"/>
        <v>1</v>
      </c>
      <c r="Y8" s="2" t="str">
        <f t="shared" si="3"/>
        <v>0.7</v>
      </c>
      <c r="Z8" s="2" t="str">
        <f t="shared" ref="Z8:AA8" si="18">Z7</f>
        <v>7</v>
      </c>
      <c r="AA8" s="2" t="str">
        <f t="shared" si="18"/>
        <v>6</v>
      </c>
      <c r="AB8" s="2" t="str">
        <f t="shared" si="5"/>
        <v>4.9</v>
      </c>
      <c r="AC8" s="2" t="str">
        <f t="shared" si="6"/>
        <v>7.259259259</v>
      </c>
      <c r="AD8" s="2" t="str">
        <f t="shared" si="7"/>
        <v>0.325</v>
      </c>
      <c r="AE8" s="2" t="str">
        <f t="shared" si="8"/>
        <v>7.843652404</v>
      </c>
      <c r="AF8" s="1" t="str">
        <f t="shared" si="9"/>
        <v>29.4645974</v>
      </c>
      <c r="AG8" s="2" t="str">
        <f t="shared" si="10"/>
        <v>0.325</v>
      </c>
      <c r="AH8" s="2" t="str">
        <f t="shared" si="14"/>
        <v>2</v>
      </c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</row>
    <row r="9" ht="12.75" customHeight="1">
      <c r="A9" s="1"/>
      <c r="B9" s="1"/>
      <c r="C9" s="18" t="s">
        <v>35</v>
      </c>
      <c r="D9" s="19">
        <v>25.0</v>
      </c>
      <c r="E9" s="18" t="s">
        <v>36</v>
      </c>
      <c r="F9" s="19">
        <v>34.0</v>
      </c>
      <c r="G9" s="18" t="s">
        <v>37</v>
      </c>
      <c r="H9" s="20">
        <v>0.33</v>
      </c>
      <c r="I9" s="10" t="s">
        <v>38</v>
      </c>
      <c r="J9" s="12"/>
      <c r="K9" s="16">
        <v>0.9</v>
      </c>
      <c r="L9" s="1"/>
      <c r="M9" s="1"/>
      <c r="N9" s="1"/>
      <c r="O9" s="1"/>
      <c r="P9" s="8"/>
      <c r="Q9" s="1"/>
      <c r="R9" s="1"/>
      <c r="S9" s="1"/>
      <c r="T9" s="1"/>
      <c r="U9" s="2" t="str">
        <f t="shared" si="1"/>
        <v>0.2155859375</v>
      </c>
      <c r="V9" s="2" t="str">
        <f t="shared" si="2"/>
        <v>0.2707421875</v>
      </c>
      <c r="W9" s="2" t="str">
        <f t="shared" si="11"/>
        <v>0.65</v>
      </c>
      <c r="X9" s="2" t="str">
        <f t="shared" si="12"/>
        <v>1</v>
      </c>
      <c r="Y9" s="2" t="str">
        <f t="shared" si="3"/>
        <v>0.65</v>
      </c>
      <c r="Z9" s="2" t="str">
        <f t="shared" ref="Z9:AA9" si="19">Z8</f>
        <v>7</v>
      </c>
      <c r="AA9" s="2" t="str">
        <f t="shared" si="19"/>
        <v>6</v>
      </c>
      <c r="AB9" s="2" t="str">
        <f t="shared" si="5"/>
        <v>4.55</v>
      </c>
      <c r="AC9" s="2" t="str">
        <f t="shared" si="6"/>
        <v>6.677673821</v>
      </c>
      <c r="AD9" s="2" t="str">
        <f t="shared" si="7"/>
        <v>0.318625</v>
      </c>
      <c r="AE9" s="2" t="str">
        <f t="shared" si="8"/>
        <v>8.517161495</v>
      </c>
      <c r="AF9" s="1" t="str">
        <f t="shared" si="9"/>
        <v>27.36685565</v>
      </c>
      <c r="AG9" s="2" t="str">
        <f t="shared" si="10"/>
        <v>0.318625</v>
      </c>
      <c r="AH9" s="2" t="str">
        <f t="shared" si="14"/>
        <v>2</v>
      </c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</row>
    <row r="10" ht="12.75" customHeight="1">
      <c r="A10" s="1"/>
      <c r="B10" s="1"/>
      <c r="C10" s="18" t="s">
        <v>39</v>
      </c>
      <c r="D10" s="19">
        <v>43.0</v>
      </c>
      <c r="E10" s="18" t="s">
        <v>40</v>
      </c>
      <c r="F10" s="19">
        <v>46.0</v>
      </c>
      <c r="G10" s="18" t="s">
        <v>41</v>
      </c>
      <c r="H10" s="20">
        <v>0.29</v>
      </c>
      <c r="I10" s="10" t="s">
        <v>42</v>
      </c>
      <c r="J10" s="12"/>
      <c r="K10" s="16">
        <v>0.5</v>
      </c>
      <c r="L10" s="1"/>
      <c r="M10" s="1"/>
      <c r="N10" s="1"/>
      <c r="O10" s="1"/>
      <c r="P10" s="8"/>
      <c r="Q10" s="1"/>
      <c r="R10" s="1"/>
      <c r="S10" s="1"/>
      <c r="T10" s="1"/>
      <c r="U10" s="2" t="str">
        <f t="shared" si="1"/>
        <v>0.2314583333</v>
      </c>
      <c r="V10" s="2" t="str">
        <f t="shared" si="2"/>
        <v>0.276875</v>
      </c>
      <c r="W10" s="2" t="str">
        <f t="shared" si="11"/>
        <v>0.6</v>
      </c>
      <c r="X10" s="2" t="str">
        <f t="shared" si="12"/>
        <v>1</v>
      </c>
      <c r="Y10" s="2" t="str">
        <f t="shared" si="3"/>
        <v>0.6</v>
      </c>
      <c r="Z10" s="2" t="str">
        <f t="shared" ref="Z10:AA10" si="20">Z9</f>
        <v>7</v>
      </c>
      <c r="AA10" s="2" t="str">
        <f t="shared" si="20"/>
        <v>6</v>
      </c>
      <c r="AB10" s="2" t="str">
        <f t="shared" si="5"/>
        <v>4.2</v>
      </c>
      <c r="AC10" s="2" t="str">
        <f t="shared" si="6"/>
        <v>6.092843327</v>
      </c>
      <c r="AD10" s="2" t="str">
        <f t="shared" si="7"/>
        <v>0.3106666667</v>
      </c>
      <c r="AE10" s="2" t="str">
        <f t="shared" si="8"/>
        <v>9.320958758</v>
      </c>
      <c r="AF10" s="1" t="str">
        <f t="shared" si="9"/>
        <v>25.26884437</v>
      </c>
      <c r="AG10" s="2" t="str">
        <f t="shared" si="10"/>
        <v>0.3106666667</v>
      </c>
      <c r="AH10" s="2" t="str">
        <f t="shared" si="14"/>
        <v>2</v>
      </c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</row>
    <row r="11" ht="12.75" customHeight="1">
      <c r="A11" s="1"/>
      <c r="B11" s="1"/>
      <c r="C11" s="18" t="s">
        <v>43</v>
      </c>
      <c r="D11" s="19">
        <v>68.0</v>
      </c>
      <c r="E11" s="18" t="s">
        <v>44</v>
      </c>
      <c r="F11" s="19">
        <v>49.0</v>
      </c>
      <c r="G11" s="18" t="s">
        <v>45</v>
      </c>
      <c r="H11" s="20">
        <v>0.19</v>
      </c>
      <c r="I11" s="10" t="s">
        <v>46</v>
      </c>
      <c r="J11" s="12"/>
      <c r="K11" s="16">
        <v>3.7</v>
      </c>
      <c r="L11" s="1"/>
      <c r="M11" s="1"/>
      <c r="N11" s="1"/>
      <c r="O11" s="1"/>
      <c r="P11" s="8"/>
      <c r="Q11" s="1"/>
      <c r="R11" s="1"/>
      <c r="S11" s="1"/>
      <c r="T11" s="1"/>
      <c r="U11" s="2" t="str">
        <f t="shared" si="1"/>
        <v>0.2491796875</v>
      </c>
      <c r="V11" s="2" t="str">
        <f t="shared" si="2"/>
        <v>0.2824609375</v>
      </c>
      <c r="W11" s="2" t="str">
        <f t="shared" si="11"/>
        <v>0.55</v>
      </c>
      <c r="X11" s="2" t="str">
        <f t="shared" si="12"/>
        <v>1</v>
      </c>
      <c r="Y11" s="2" t="str">
        <f t="shared" si="3"/>
        <v>0.55</v>
      </c>
      <c r="Z11" s="2" t="str">
        <f t="shared" ref="Z11:AA11" si="21">Z10</f>
        <v>7</v>
      </c>
      <c r="AA11" s="2" t="str">
        <f t="shared" si="21"/>
        <v>6</v>
      </c>
      <c r="AB11" s="2" t="str">
        <f t="shared" si="5"/>
        <v>3.85</v>
      </c>
      <c r="AC11" s="2" t="str">
        <f t="shared" si="6"/>
        <v>5.508853515</v>
      </c>
      <c r="AD11" s="2" t="str">
        <f t="shared" si="7"/>
        <v>0.301125</v>
      </c>
      <c r="AE11" s="2" t="str">
        <f t="shared" si="8"/>
        <v>10.28894256</v>
      </c>
      <c r="AF11" s="1" t="str">
        <f t="shared" si="9"/>
        <v>23.1705491</v>
      </c>
      <c r="AG11" s="2" t="str">
        <f t="shared" si="10"/>
        <v>0.301125</v>
      </c>
      <c r="AH11" s="2" t="str">
        <f t="shared" si="14"/>
        <v>2</v>
      </c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8"/>
      <c r="Q12" s="1"/>
      <c r="R12" s="1"/>
      <c r="S12" s="1"/>
      <c r="T12" s="1"/>
      <c r="U12" s="2" t="str">
        <f t="shared" si="1"/>
        <v>0.26875</v>
      </c>
      <c r="V12" s="2" t="str">
        <f t="shared" si="2"/>
        <v>0.2875</v>
      </c>
      <c r="W12" s="2" t="str">
        <f t="shared" si="11"/>
        <v>0.5</v>
      </c>
      <c r="X12" s="2" t="str">
        <f t="shared" si="12"/>
        <v>1</v>
      </c>
      <c r="Y12" s="2" t="str">
        <f t="shared" si="3"/>
        <v>0.5</v>
      </c>
      <c r="Z12" s="2" t="str">
        <f t="shared" ref="Z12:AA12" si="22">Z11</f>
        <v>7</v>
      </c>
      <c r="AA12" s="2" t="str">
        <f t="shared" si="22"/>
        <v>6</v>
      </c>
      <c r="AB12" s="2" t="str">
        <f t="shared" si="5"/>
        <v>3.5</v>
      </c>
      <c r="AC12" s="2" t="str">
        <f t="shared" si="6"/>
        <v>4.929577465</v>
      </c>
      <c r="AD12" s="2" t="str">
        <f t="shared" si="7"/>
        <v>0.29</v>
      </c>
      <c r="AE12" s="2" t="str">
        <f t="shared" si="8"/>
        <v>11.46758984</v>
      </c>
      <c r="AF12" s="1" t="str">
        <f t="shared" si="9"/>
        <v>21.07196241</v>
      </c>
      <c r="AG12" s="2" t="str">
        <f t="shared" si="10"/>
        <v>0.29</v>
      </c>
      <c r="AH12" s="2" t="str">
        <f t="shared" si="14"/>
        <v>2</v>
      </c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</row>
    <row r="13" ht="12.75" customHeight="1">
      <c r="A13" s="1"/>
      <c r="B13" s="1"/>
      <c r="C13" s="10" t="s">
        <v>47</v>
      </c>
      <c r="D13" s="11"/>
      <c r="E13" s="11"/>
      <c r="F13" s="12"/>
      <c r="G13" s="21" t="str">
        <f>AH43</f>
        <v>0.26</v>
      </c>
      <c r="H13" s="10" t="s">
        <v>48</v>
      </c>
      <c r="I13" s="11"/>
      <c r="J13" s="11"/>
      <c r="K13" s="12"/>
      <c r="L13" s="21" t="str">
        <f>AVERAGE(AQ22:AQ37)</f>
        <v>8.41</v>
      </c>
      <c r="M13" s="1"/>
      <c r="N13" s="1"/>
      <c r="O13" s="1"/>
      <c r="P13" s="8"/>
      <c r="Q13" s="1"/>
      <c r="R13" s="1"/>
      <c r="S13" s="1"/>
      <c r="T13" s="1"/>
      <c r="U13" s="2" t="str">
        <f t="shared" si="1"/>
        <v>0.2901692708</v>
      </c>
      <c r="V13" s="2" t="str">
        <f t="shared" si="2"/>
        <v>0.2919921875</v>
      </c>
      <c r="W13" s="2" t="str">
        <f t="shared" si="11"/>
        <v>0.45</v>
      </c>
      <c r="X13" s="2" t="str">
        <f t="shared" si="12"/>
        <v>1</v>
      </c>
      <c r="Y13" s="2" t="str">
        <f t="shared" si="3"/>
        <v>0.45</v>
      </c>
      <c r="Z13" s="2" t="str">
        <f t="shared" ref="Z13:AA13" si="23">Z12</f>
        <v>7</v>
      </c>
      <c r="AA13" s="2" t="str">
        <f t="shared" si="23"/>
        <v>6</v>
      </c>
      <c r="AB13" s="2" t="str">
        <f t="shared" si="5"/>
        <v>3.15</v>
      </c>
      <c r="AC13" s="2" t="str">
        <f t="shared" si="6"/>
        <v>4.358604785</v>
      </c>
      <c r="AD13" s="2" t="str">
        <f t="shared" si="7"/>
        <v>0.2772916667</v>
      </c>
      <c r="AE13" s="2" t="str">
        <f t="shared" si="8"/>
        <v>12.92219025</v>
      </c>
      <c r="AF13" s="1" t="str">
        <f t="shared" si="9"/>
        <v>18.97308789</v>
      </c>
      <c r="AG13" s="2" t="str">
        <f t="shared" si="10"/>
        <v>0.2772916667</v>
      </c>
      <c r="AH13" s="2" t="str">
        <f t="shared" si="14"/>
        <v>2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</row>
    <row r="14" ht="12.75" customHeight="1">
      <c r="A14" s="1"/>
      <c r="B14" s="1"/>
      <c r="C14" s="10" t="s">
        <v>49</v>
      </c>
      <c r="D14" s="11"/>
      <c r="E14" s="11"/>
      <c r="F14" s="12"/>
      <c r="G14" s="21" t="str">
        <f>AK22*30/3.1415</f>
        <v>401.08</v>
      </c>
      <c r="H14" s="10" t="s">
        <v>50</v>
      </c>
      <c r="I14" s="11"/>
      <c r="J14" s="11"/>
      <c r="K14" s="12"/>
      <c r="L14" s="22" t="str">
        <f>AM37</f>
        <v>251</v>
      </c>
      <c r="M14" s="1"/>
      <c r="N14" s="1"/>
      <c r="O14" s="1"/>
      <c r="P14" s="8"/>
      <c r="Q14" s="1"/>
      <c r="R14" s="1"/>
      <c r="S14" s="1"/>
      <c r="T14" s="1"/>
      <c r="U14" s="2" t="str">
        <f t="shared" si="1"/>
        <v>0.3134375</v>
      </c>
      <c r="V14" s="2" t="str">
        <f t="shared" si="2"/>
        <v>0.2959375</v>
      </c>
      <c r="W14" s="2" t="str">
        <f t="shared" si="11"/>
        <v>0.4</v>
      </c>
      <c r="X14" s="2" t="str">
        <f t="shared" si="12"/>
        <v>1</v>
      </c>
      <c r="Y14" s="2" t="str">
        <f t="shared" si="3"/>
        <v>0.4</v>
      </c>
      <c r="Z14" s="2" t="str">
        <f t="shared" ref="Z14:AA14" si="24">Z13</f>
        <v>7</v>
      </c>
      <c r="AA14" s="2" t="str">
        <f t="shared" si="24"/>
        <v>6</v>
      </c>
      <c r="AB14" s="2" t="str">
        <f t="shared" si="5"/>
        <v>2.8</v>
      </c>
      <c r="AC14" s="2" t="str">
        <f t="shared" si="6"/>
        <v>3.799185889</v>
      </c>
      <c r="AD14" s="2" t="str">
        <f t="shared" si="7"/>
        <v>0.263</v>
      </c>
      <c r="AE14" s="2" t="str">
        <f t="shared" si="8"/>
        <v>14.74701943</v>
      </c>
      <c r="AF14" s="1" t="str">
        <f t="shared" si="9"/>
        <v>16.8739469</v>
      </c>
      <c r="AG14" s="2" t="str">
        <f t="shared" si="10"/>
        <v>0.263</v>
      </c>
      <c r="AH14" s="2" t="str">
        <f t="shared" si="14"/>
        <v>2</v>
      </c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</row>
    <row r="15" ht="12.75" customHeight="1">
      <c r="A15" s="1"/>
      <c r="B15" s="1"/>
      <c r="C15" s="10" t="s">
        <v>51</v>
      </c>
      <c r="D15" s="11"/>
      <c r="E15" s="11"/>
      <c r="F15" s="12"/>
      <c r="G15" s="21" t="str">
        <f>0.6*G7*G7*G7*G4*G4*3.1415/4*G18</f>
        <v>166.79</v>
      </c>
      <c r="H15" s="10" t="s">
        <v>52</v>
      </c>
      <c r="I15" s="11"/>
      <c r="J15" s="11"/>
      <c r="K15" s="12"/>
      <c r="L15" s="21" t="str">
        <f>AT37</f>
        <v>21.97</v>
      </c>
      <c r="M15" s="1"/>
      <c r="N15" s="1"/>
      <c r="O15" s="1"/>
      <c r="P15" s="8"/>
      <c r="Q15" s="1"/>
      <c r="R15" s="1"/>
      <c r="S15" s="1"/>
      <c r="T15" s="1"/>
      <c r="U15" s="2" t="str">
        <f t="shared" si="1"/>
        <v>0.3385546875</v>
      </c>
      <c r="V15" s="2" t="str">
        <f t="shared" si="2"/>
        <v>0.2993359375</v>
      </c>
      <c r="W15" s="2" t="str">
        <f t="shared" si="11"/>
        <v>0.35</v>
      </c>
      <c r="X15" s="2" t="str">
        <f t="shared" si="12"/>
        <v>1</v>
      </c>
      <c r="Y15" s="2" t="str">
        <f t="shared" si="3"/>
        <v>0.35</v>
      </c>
      <c r="Z15" s="2" t="str">
        <f t="shared" ref="Z15:AA15" si="25">Z14</f>
        <v>7</v>
      </c>
      <c r="AA15" s="2" t="str">
        <f t="shared" si="25"/>
        <v>6</v>
      </c>
      <c r="AB15" s="2" t="str">
        <f t="shared" si="5"/>
        <v>2.45</v>
      </c>
      <c r="AC15" s="2" t="str">
        <f t="shared" si="6"/>
        <v>3.254192263</v>
      </c>
      <c r="AD15" s="2" t="str">
        <f t="shared" si="7"/>
        <v>0.247125</v>
      </c>
      <c r="AE15" s="2" t="str">
        <f t="shared" si="8"/>
        <v>17.08248326</v>
      </c>
      <c r="AF15" s="1" t="str">
        <f t="shared" si="9"/>
        <v>14.77459128</v>
      </c>
      <c r="AG15" s="2" t="str">
        <f t="shared" si="10"/>
        <v>0.247125</v>
      </c>
      <c r="AH15" s="2" t="str">
        <f t="shared" si="14"/>
        <v>2</v>
      </c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</row>
    <row r="16" ht="12.75" customHeight="1">
      <c r="A16" s="1"/>
      <c r="B16" s="1"/>
      <c r="C16" s="10" t="s">
        <v>53</v>
      </c>
      <c r="D16" s="11"/>
      <c r="E16" s="11"/>
      <c r="F16" s="12"/>
      <c r="G16" s="21" t="str">
        <f>AP37*G6</f>
        <v>62.50</v>
      </c>
      <c r="H16" s="10" t="s">
        <v>54</v>
      </c>
      <c r="I16" s="11"/>
      <c r="J16" s="11"/>
      <c r="K16" s="12"/>
      <c r="L16" s="21" t="str">
        <f>AU37</f>
        <v>3.85</v>
      </c>
      <c r="M16" s="1"/>
      <c r="N16" s="1"/>
      <c r="O16" s="1"/>
      <c r="P16" s="8"/>
      <c r="Q16" s="1"/>
      <c r="R16" s="1"/>
      <c r="S16" s="1"/>
      <c r="T16" s="1"/>
      <c r="U16" s="2" t="str">
        <f t="shared" si="1"/>
        <v>0.3655208333</v>
      </c>
      <c r="V16" s="2" t="str">
        <f t="shared" si="2"/>
        <v>0.3021875</v>
      </c>
      <c r="W16" s="2" t="str">
        <f t="shared" si="11"/>
        <v>0.3</v>
      </c>
      <c r="X16" s="2" t="str">
        <f t="shared" si="12"/>
        <v>1</v>
      </c>
      <c r="Y16" s="2" t="str">
        <f t="shared" si="3"/>
        <v>0.3</v>
      </c>
      <c r="Z16" s="2" t="str">
        <f t="shared" ref="Z16:AA16" si="26">Z15</f>
        <v>7</v>
      </c>
      <c r="AA16" s="2" t="str">
        <f t="shared" si="26"/>
        <v>6</v>
      </c>
      <c r="AB16" s="2" t="str">
        <f t="shared" si="5"/>
        <v>2.1</v>
      </c>
      <c r="AC16" s="2" t="str">
        <f t="shared" si="6"/>
        <v>2.726092601</v>
      </c>
      <c r="AD16" s="2" t="str">
        <f t="shared" si="7"/>
        <v>0.2296666667</v>
      </c>
      <c r="AE16" s="2" t="str">
        <f t="shared" si="8"/>
        <v>20.1449139</v>
      </c>
      <c r="AF16" s="1" t="str">
        <f t="shared" si="9"/>
        <v>12.67512856</v>
      </c>
      <c r="AG16" s="2" t="str">
        <f t="shared" si="10"/>
        <v>0.2296666667</v>
      </c>
      <c r="AH16" s="2" t="str">
        <f t="shared" si="14"/>
        <v>2</v>
      </c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</row>
    <row r="17" ht="12.75" customHeight="1">
      <c r="A17" s="1"/>
      <c r="B17" s="1"/>
      <c r="C17" s="10" t="s">
        <v>55</v>
      </c>
      <c r="D17" s="11"/>
      <c r="E17" s="11"/>
      <c r="F17" s="12"/>
      <c r="G17" s="23" t="str">
        <f>AS22</f>
        <v>0.118</v>
      </c>
      <c r="H17" s="10" t="s">
        <v>56</v>
      </c>
      <c r="I17" s="11"/>
      <c r="J17" s="11"/>
      <c r="K17" s="12"/>
      <c r="L17" s="21" t="str">
        <f>SUM(N22:N37)</f>
        <v>5.98</v>
      </c>
      <c r="M17" s="1"/>
      <c r="N17" s="1"/>
      <c r="O17" s="1"/>
      <c r="P17" s="8"/>
      <c r="Q17" s="1"/>
      <c r="R17" s="1"/>
      <c r="S17" s="1"/>
      <c r="T17" s="1"/>
      <c r="U17" s="2" t="str">
        <f t="shared" si="1"/>
        <v>0.3943359375</v>
      </c>
      <c r="V17" s="2" t="str">
        <f t="shared" si="2"/>
        <v>0.3044921875</v>
      </c>
      <c r="W17" s="2" t="str">
        <f t="shared" si="11"/>
        <v>0.25</v>
      </c>
      <c r="X17" s="2" t="str">
        <f t="shared" si="12"/>
        <v>1</v>
      </c>
      <c r="Y17" s="2" t="str">
        <f t="shared" si="3"/>
        <v>0.25</v>
      </c>
      <c r="Z17" s="2" t="str">
        <f t="shared" ref="Z17:AA17" si="27">Z16</f>
        <v>7</v>
      </c>
      <c r="AA17" s="2" t="str">
        <f t="shared" si="27"/>
        <v>6</v>
      </c>
      <c r="AB17" s="2" t="str">
        <f t="shared" si="5"/>
        <v>1.75</v>
      </c>
      <c r="AC17" s="2" t="str">
        <f t="shared" si="6"/>
        <v>2.216943785</v>
      </c>
      <c r="AD17" s="2" t="str">
        <f t="shared" si="7"/>
        <v>0.210625</v>
      </c>
      <c r="AE17" s="2" t="str">
        <f t="shared" si="8"/>
        <v>24.2794915</v>
      </c>
      <c r="AF17" s="1" t="str">
        <f t="shared" si="9"/>
        <v>10.57577723</v>
      </c>
      <c r="AG17" s="2" t="str">
        <f t="shared" si="10"/>
        <v>0.210625</v>
      </c>
      <c r="AH17" s="2" t="str">
        <f t="shared" si="14"/>
        <v>2</v>
      </c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</row>
    <row r="18" ht="12.75" customHeight="1">
      <c r="A18" s="1"/>
      <c r="B18" s="1"/>
      <c r="C18" s="10" t="s">
        <v>57</v>
      </c>
      <c r="D18" s="11"/>
      <c r="E18" s="11"/>
      <c r="F18" s="12"/>
      <c r="G18" s="24" t="str">
        <f>IF(K8=0,AG45,Z66)</f>
        <v>0.4097</v>
      </c>
      <c r="H18" s="10" t="s">
        <v>58</v>
      </c>
      <c r="I18" s="11"/>
      <c r="J18" s="11"/>
      <c r="K18" s="12"/>
      <c r="L18" s="23" t="str">
        <f>AW38*G6*K11*K11/9</f>
        <v>-0.030</v>
      </c>
      <c r="M18" s="1"/>
      <c r="N18" s="1"/>
      <c r="O18" s="1"/>
      <c r="P18" s="8"/>
      <c r="Q18" s="1"/>
      <c r="R18" s="1"/>
      <c r="S18" s="1"/>
      <c r="T18" s="1"/>
      <c r="U18" s="2" t="str">
        <f t="shared" si="1"/>
        <v>0.425</v>
      </c>
      <c r="V18" s="2" t="str">
        <f t="shared" si="2"/>
        <v>0.30625</v>
      </c>
      <c r="W18" s="2" t="str">
        <f t="shared" si="11"/>
        <v>0.2</v>
      </c>
      <c r="X18" s="2" t="str">
        <f t="shared" si="12"/>
        <v>1</v>
      </c>
      <c r="Y18" s="2" t="str">
        <f t="shared" si="3"/>
        <v>0.2</v>
      </c>
      <c r="Z18" s="2" t="str">
        <f t="shared" ref="Z18:AA18" si="28">Z17</f>
        <v>7</v>
      </c>
      <c r="AA18" s="2" t="str">
        <f t="shared" si="28"/>
        <v>6</v>
      </c>
      <c r="AB18" s="2" t="str">
        <f t="shared" si="5"/>
        <v>1.4</v>
      </c>
      <c r="AC18" s="2" t="str">
        <f t="shared" si="6"/>
        <v>1.728395062</v>
      </c>
      <c r="AD18" s="2" t="str">
        <f t="shared" si="7"/>
        <v>0.19</v>
      </c>
      <c r="AE18" s="2" t="str">
        <f t="shared" si="8"/>
        <v>30.05333406</v>
      </c>
      <c r="AF18" s="1" t="str">
        <f t="shared" si="9"/>
        <v>8.477004188</v>
      </c>
      <c r="AG18" s="2" t="str">
        <f t="shared" si="10"/>
        <v>0.19</v>
      </c>
      <c r="AH18" s="2" t="str">
        <f t="shared" si="14"/>
        <v>2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</row>
    <row r="19" ht="12.75" customHeight="1">
      <c r="A19" s="1"/>
      <c r="B19" s="1"/>
      <c r="C19" s="1"/>
      <c r="D19" s="1"/>
      <c r="E19" s="1"/>
      <c r="F19" s="1"/>
      <c r="G19" s="1"/>
      <c r="H19" s="10" t="s">
        <v>59</v>
      </c>
      <c r="I19" s="11"/>
      <c r="J19" s="11"/>
      <c r="K19" s="12"/>
      <c r="L19" s="25" t="str">
        <f>U62*G6</f>
        <v>0.1997903821</v>
      </c>
      <c r="M19" s="1"/>
      <c r="N19" s="1"/>
      <c r="O19" s="1"/>
      <c r="P19" s="8"/>
      <c r="Q19" s="1"/>
      <c r="R19" s="1"/>
      <c r="S19" s="1"/>
      <c r="T19" s="1"/>
      <c r="U19" s="1"/>
      <c r="V19" s="1"/>
      <c r="W19" s="1"/>
      <c r="X19" s="1"/>
      <c r="Y19" s="2" t="str">
        <f>Y18-(Y17-Y18)</f>
        <v>0.15</v>
      </c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8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 t="s">
        <v>60</v>
      </c>
      <c r="BG20" s="1"/>
      <c r="BH20" s="1"/>
      <c r="BI20" s="1"/>
      <c r="BJ20" s="1"/>
      <c r="BK20" s="1"/>
      <c r="BL20" s="1"/>
      <c r="BM20" s="1"/>
      <c r="BN20" s="1"/>
      <c r="BO20" s="1" t="s">
        <v>61</v>
      </c>
      <c r="BR20" s="1"/>
      <c r="BS20" s="1"/>
      <c r="BT20" s="1"/>
      <c r="BU20" s="1"/>
      <c r="BV20" s="1"/>
      <c r="BW20" s="1"/>
      <c r="BX20" s="1"/>
      <c r="BY20" s="1"/>
      <c r="BZ20" s="1" t="s">
        <v>62</v>
      </c>
      <c r="CC20" s="1"/>
      <c r="CD20" s="1"/>
      <c r="CE20" s="1"/>
      <c r="CF20" s="1"/>
      <c r="CG20" s="1"/>
    </row>
    <row r="21" ht="51.0" customHeight="1">
      <c r="A21" s="1"/>
      <c r="B21" s="9" t="s">
        <v>63</v>
      </c>
      <c r="D21" s="9" t="s">
        <v>64</v>
      </c>
      <c r="E21" s="9" t="s">
        <v>65</v>
      </c>
      <c r="F21" s="9" t="s">
        <v>66</v>
      </c>
      <c r="G21" s="9" t="s">
        <v>67</v>
      </c>
      <c r="H21" s="9" t="s">
        <v>68</v>
      </c>
      <c r="I21" s="9" t="s">
        <v>69</v>
      </c>
      <c r="J21" s="26" t="s">
        <v>70</v>
      </c>
      <c r="K21" s="9" t="s">
        <v>71</v>
      </c>
      <c r="L21" s="1"/>
      <c r="M21" s="9" t="s">
        <v>72</v>
      </c>
      <c r="N21" s="9" t="s">
        <v>73</v>
      </c>
      <c r="O21" s="1"/>
      <c r="P21" s="14" t="s">
        <v>74</v>
      </c>
      <c r="Q21" s="1" t="s">
        <v>8</v>
      </c>
      <c r="R21" s="1" t="s">
        <v>1</v>
      </c>
      <c r="S21" s="9" t="s">
        <v>75</v>
      </c>
      <c r="T21" s="9" t="s">
        <v>76</v>
      </c>
      <c r="U21" s="9" t="s">
        <v>77</v>
      </c>
      <c r="V21" s="9" t="s">
        <v>78</v>
      </c>
      <c r="W21" s="9" t="s">
        <v>79</v>
      </c>
      <c r="X21" s="9" t="s">
        <v>80</v>
      </c>
      <c r="Y21" s="9" t="s">
        <v>81</v>
      </c>
      <c r="Z21" s="9" t="s">
        <v>82</v>
      </c>
      <c r="AA21" s="9" t="s">
        <v>83</v>
      </c>
      <c r="AB21" s="9" t="s">
        <v>84</v>
      </c>
      <c r="AC21" s="9" t="s">
        <v>85</v>
      </c>
      <c r="AD21" s="9" t="s">
        <v>86</v>
      </c>
      <c r="AE21" s="9" t="s">
        <v>87</v>
      </c>
      <c r="AF21" s="9" t="s">
        <v>88</v>
      </c>
      <c r="AG21" s="9" t="s">
        <v>89</v>
      </c>
      <c r="AH21" s="9" t="s">
        <v>90</v>
      </c>
      <c r="AI21" s="9" t="s">
        <v>91</v>
      </c>
      <c r="AJ21" s="9" t="s">
        <v>92</v>
      </c>
      <c r="AK21" s="9" t="s">
        <v>93</v>
      </c>
      <c r="AL21" s="9" t="s">
        <v>94</v>
      </c>
      <c r="AM21" s="9" t="s">
        <v>95</v>
      </c>
      <c r="AN21" s="9" t="s">
        <v>96</v>
      </c>
      <c r="AO21" s="9" t="s">
        <v>97</v>
      </c>
      <c r="AP21" s="9" t="s">
        <v>98</v>
      </c>
      <c r="AQ21" s="9" t="s">
        <v>99</v>
      </c>
      <c r="AR21" s="9" t="s">
        <v>100</v>
      </c>
      <c r="AS21" s="9" t="s">
        <v>101</v>
      </c>
      <c r="AT21" s="9" t="s">
        <v>102</v>
      </c>
      <c r="AU21" s="9" t="s">
        <v>103</v>
      </c>
      <c r="AV21" s="9" t="s">
        <v>104</v>
      </c>
      <c r="AW21" s="9" t="s">
        <v>105</v>
      </c>
      <c r="AX21" s="1"/>
      <c r="AY21" s="1"/>
      <c r="AZ21" s="9" t="s">
        <v>106</v>
      </c>
      <c r="BA21" s="9" t="s">
        <v>107</v>
      </c>
      <c r="BB21" s="9" t="s">
        <v>108</v>
      </c>
      <c r="BC21" s="9" t="s">
        <v>109</v>
      </c>
      <c r="BD21" s="9" t="s">
        <v>110</v>
      </c>
      <c r="BE21" s="9" t="s">
        <v>111</v>
      </c>
      <c r="BF21" s="9" t="s">
        <v>112</v>
      </c>
      <c r="BG21" s="9" t="s">
        <v>113</v>
      </c>
      <c r="BH21" s="9" t="s">
        <v>114</v>
      </c>
      <c r="BI21" s="9" t="s">
        <v>115</v>
      </c>
      <c r="BJ21" s="9" t="s">
        <v>116</v>
      </c>
      <c r="BK21" s="9" t="s">
        <v>106</v>
      </c>
      <c r="BL21" s="9" t="s">
        <v>107</v>
      </c>
      <c r="BM21" s="9" t="s">
        <v>108</v>
      </c>
      <c r="BN21" s="9" t="s">
        <v>109</v>
      </c>
      <c r="BO21" s="9" t="s">
        <v>110</v>
      </c>
      <c r="BP21" s="9" t="s">
        <v>111</v>
      </c>
      <c r="BQ21" s="9" t="s">
        <v>112</v>
      </c>
      <c r="BR21" s="9" t="s">
        <v>113</v>
      </c>
      <c r="BS21" s="9" t="s">
        <v>114</v>
      </c>
      <c r="BT21" s="9" t="s">
        <v>115</v>
      </c>
      <c r="BU21" s="9" t="s">
        <v>116</v>
      </c>
      <c r="BV21" s="9" t="s">
        <v>106</v>
      </c>
      <c r="BW21" s="9" t="s">
        <v>107</v>
      </c>
      <c r="BX21" s="9" t="s">
        <v>108</v>
      </c>
      <c r="BY21" s="9" t="s">
        <v>109</v>
      </c>
      <c r="BZ21" s="9" t="s">
        <v>110</v>
      </c>
      <c r="CA21" s="9" t="s">
        <v>111</v>
      </c>
      <c r="CB21" s="9" t="s">
        <v>112</v>
      </c>
      <c r="CC21" s="9" t="s">
        <v>113</v>
      </c>
      <c r="CD21" s="9" t="s">
        <v>114</v>
      </c>
      <c r="CE21" s="9" t="s">
        <v>115</v>
      </c>
      <c r="CF21" s="9" t="s">
        <v>116</v>
      </c>
      <c r="CG21" s="1"/>
    </row>
    <row r="22" ht="12.75" customHeight="1">
      <c r="A22" s="27" t="str">
        <f t="shared" ref="A22:A38" si="31">IF(R22&lt;50000,"Re","  ")</f>
        <v>  </v>
      </c>
      <c r="B22" s="27" t="str">
        <f t="shared" ref="B22:B38" si="32">IF(OR(Y22&lt;0.05,Y22&gt;0.25),Y22*100,"  ")</f>
        <v>  </v>
      </c>
      <c r="D22" s="2" t="str">
        <f t="shared" ref="D22:D38" si="33">Y2</f>
        <v>1</v>
      </c>
      <c r="E22" s="28" t="str">
        <f t="shared" ref="E22:E38" si="34">BJ22</f>
        <v>25.0</v>
      </c>
      <c r="F22" s="28" t="str">
        <f t="shared" ref="F22:F38" si="35">BU22</f>
        <v>34.0</v>
      </c>
      <c r="G22" s="27" t="str">
        <f t="shared" ref="G22:G38" si="36">IF(AA45=TRUE,P22,"  ")</f>
        <v>  </v>
      </c>
      <c r="H22" s="2" t="str">
        <f t="shared" ref="H22:H38" si="37">AB22*U22</f>
        <v>0.05690003678</v>
      </c>
      <c r="I22" s="2" t="str">
        <f t="shared" ref="I22:I38" si="38">IF(AE22=0,Z45,U66)</f>
        <v>0.05698494365</v>
      </c>
      <c r="J22" s="2" t="str">
        <f t="shared" ref="J22:J38" si="39">H22/I22</f>
        <v>0.9985100123</v>
      </c>
      <c r="K22" s="2" t="str">
        <f t="shared" ref="K22:K38" si="40">IF(AE22=0,Y45*AB45,T66*AB45)</f>
        <v>0.5588402118</v>
      </c>
      <c r="L22" s="1"/>
      <c r="M22" s="2" t="str">
        <f t="shared" ref="M22:M37" si="41">COS(AE2/180*3.1415)*AN22*0.5*(H22+H23)*(Y2-Y3)</f>
        <v>3.392391797</v>
      </c>
      <c r="N22" s="2" t="str">
        <f t="shared" ref="N22:N37" si="42">2*AK22*AO22*AJ22*0.5*(Y2+Y3)</f>
        <v>0.456996188</v>
      </c>
      <c r="O22" s="1"/>
      <c r="P22" s="29" t="str">
        <f t="shared" ref="P22:P38" si="43">AE2-AD22</f>
        <v>7.018095386</v>
      </c>
      <c r="Q22" s="2" t="str">
        <f>'Текущий профиль'!S25</f>
        <v>67.07632508</v>
      </c>
      <c r="R22" s="2" t="str">
        <f t="shared" ref="R22:R38" si="44">68500*H22*AF2</f>
        <v>163883.2139</v>
      </c>
      <c r="S22" s="2" t="str">
        <f t="shared" ref="S22:S38" si="45">Y22</f>
        <v>0.09324651406</v>
      </c>
      <c r="T22" s="2" t="str">
        <f t="shared" ref="T22:T37" si="46">AW22</f>
        <v>-0.001179807269</v>
      </c>
      <c r="U22" s="2" t="str">
        <f>G2/1000</f>
        <v>0.16</v>
      </c>
      <c r="V22" s="2" t="str">
        <f t="shared" ref="V22:V38" si="47">U22*0.975</f>
        <v>0.156</v>
      </c>
      <c r="W22" s="2" t="str">
        <f t="shared" ref="W22:W38" si="48">(U2+V2)*V22</f>
        <v>0.057525</v>
      </c>
      <c r="X22" s="2" t="str">
        <f t="shared" ref="X22:X38" si="49">SIN(W22/V22)*V22</f>
        <v>0.05623015953</v>
      </c>
      <c r="Y22" s="2" t="str">
        <f t="shared" ref="Y22:Y38" si="50">(0.5*V22-0.5*V22*COS(W22/V22))/X22</f>
        <v>0.09324651406</v>
      </c>
      <c r="Z22" s="2" t="str">
        <f t="shared" ref="Z22:Z38" si="51">(U2+V2)*2</f>
        <v>0.7375</v>
      </c>
      <c r="AA22" s="2" t="str">
        <f t="shared" ref="AA22:AA38" si="52">-0.00089347*Y22*Y22*Y22*1000000+0.036745*Y22*Y22*10000+1.521*Y22*100+6.1468</f>
        <v>22.80014143</v>
      </c>
      <c r="AB22" s="2" t="str">
        <f t="shared" ref="AB22:AB38" si="53">(0.000004396*Y22*Y22*Y22*Y22*100000000-0.00027325*Y22*Y22*Y22*1000000+0.0048043*Y22*Y22*10000+0.041695*Y22*100+0.093038)/2</f>
        <v>0.3556252299</v>
      </c>
      <c r="AC22" s="30" t="str">
        <f t="shared" ref="AC22:AC42" si="54">-F22</f>
        <v>-34.0</v>
      </c>
      <c r="AD22" s="2" t="str">
        <f t="shared" ref="AD22:AD38" si="55">AA22-2*V2*180/ACOS(-1)</f>
        <v>-1.550564863</v>
      </c>
      <c r="AE22" s="2" t="str">
        <f>K8</f>
        <v>1</v>
      </c>
      <c r="AF22" s="2" t="str">
        <f>G2/2000</f>
        <v>0.08</v>
      </c>
      <c r="AG22" s="2" t="str">
        <f t="shared" ref="AG22:AG38" si="57">(Z22-(3.67+14.95)*3.1415/180)/2*AF22*AF22*0.0975+0.0110582*AF22*AF22</f>
        <v>0.0001994816147</v>
      </c>
      <c r="AH22" s="2" t="str">
        <f>G3</f>
        <v>2.15</v>
      </c>
      <c r="AI22" s="2" t="str">
        <f t="shared" ref="AI22:AI37" si="58">AH22/(0.0975*AF22*AF22*3.1415)</f>
        <v>1096.77314</v>
      </c>
      <c r="AJ22" s="2" t="str">
        <f t="shared" ref="AJ22:AJ37" si="59">(0.5*AG22+0.5*AG23)*(Y2-Y3)*AI22</f>
        <v>0.01115985807</v>
      </c>
      <c r="AK22" s="2" t="str">
        <f>G7*G5/(G4/2)</f>
        <v>42</v>
      </c>
      <c r="AL22" s="2" t="str">
        <f t="shared" ref="AL22:AL37" si="60">AJ22*AK22*AK22*0.5*(Y2+Y3)</f>
        <v>19.1938399</v>
      </c>
      <c r="AM22" s="2" t="str">
        <f>AL22</f>
        <v>19.1938399</v>
      </c>
      <c r="AN22" s="2" t="str">
        <f t="shared" ref="AN22:AN37" si="61">0.6*AF2*AF2*V45</f>
        <v>1177.382451</v>
      </c>
      <c r="AO22" s="2" t="str">
        <f>K10</f>
        <v>0.5</v>
      </c>
      <c r="AP22" s="2" t="str">
        <f>M22</f>
        <v>3.392391797</v>
      </c>
      <c r="AQ22" s="2" t="str">
        <f t="shared" ref="AQ22:AQ37" si="62">ATAN(AP22/AM22)/3.1415*180</f>
        <v>10.02345465</v>
      </c>
      <c r="AR22" s="2" t="str">
        <f t="shared" ref="AR22:AR37" si="63">AP22/AM22*(Y2-Y3)</f>
        <v>0.008837188948</v>
      </c>
      <c r="AS22" s="2" t="str">
        <f t="shared" ref="AS22:AS36" si="64">AS23+AR22</f>
        <v>0.1182626813</v>
      </c>
      <c r="AT22" s="2" t="str">
        <f>M22*0.5*(Y3+Y2)</f>
        <v>3.307582002</v>
      </c>
      <c r="AU22" s="2" t="str">
        <f>N22*0.5*(Y2+Y3)</f>
        <v>0.4455712833</v>
      </c>
      <c r="AV22" s="2" t="str">
        <f t="shared" ref="AV22:AV37" si="65">IF(Y22&lt;0.15,-0.00000040463*AD22*AD22*AD22*AD22+0.00004765*AD22*AD22*AD22-0.0019723*AD22*AD22+0.047623*AD22,-0.00000026906*AD22*AD22*AD22*AD22+0.0000349*AD22*AD22*AD22-0.0016291*AD22*AD22+0.048885*AD22)</f>
        <v>-0.07876443112</v>
      </c>
      <c r="AW22" s="2" t="str">
        <f t="shared" ref="AW22:AW37" si="66">0.6*9*AV22*H22*(Y2-Y3)*0.5*(Y2+Y3)</f>
        <v>-0.001179807269</v>
      </c>
      <c r="AX22" s="1"/>
      <c r="AY22" s="1"/>
      <c r="AZ22" s="2" t="str">
        <f>D38</f>
        <v>0.2</v>
      </c>
      <c r="BA22" s="2" t="str">
        <f>D32</f>
        <v>0.5</v>
      </c>
      <c r="BB22" s="2" t="str">
        <f>D22</f>
        <v>1</v>
      </c>
      <c r="BC22" s="2" t="str">
        <f t="shared" ref="BC22:BC38" si="68">D22</f>
        <v>1</v>
      </c>
      <c r="BD22" s="2" t="str">
        <f>D11</f>
        <v>68</v>
      </c>
      <c r="BE22" s="30" t="str">
        <f>D10</f>
        <v>43.0</v>
      </c>
      <c r="BF22" s="2" t="str">
        <f>D9</f>
        <v>25</v>
      </c>
      <c r="BG22" s="2" t="str">
        <f t="shared" ref="BG22:BG38" si="70">((BF22-BD22)*(BA22-AZ22)-(BE22-BD22)*(BB22-AZ22))/((BB22*BB22-AZ22*AZ22)*(BA22-AZ22)-(BA22*BA22-AZ22*AZ22)*(BB22-AZ22))</f>
        <v>59.16666667</v>
      </c>
      <c r="BH22" s="2" t="str">
        <f t="shared" ref="BH22:BH38" si="71">(BE22-BD22-BG22*(BA22*BA22-AZ22*AZ22))/(BA22-AZ22)</f>
        <v>-124.75</v>
      </c>
      <c r="BI22" s="2" t="str">
        <f t="shared" ref="BI22:BI38" si="72">BD22-(BG22*AZ22*AZ22+BH22*AZ22)</f>
        <v>90.58333333</v>
      </c>
      <c r="BJ22" s="31" t="str">
        <f t="shared" ref="BJ22:BJ38" si="73">BG22*BC22*BC22+BH22*BC22+BI22</f>
        <v>25</v>
      </c>
      <c r="BK22" s="2" t="str">
        <f t="shared" ref="BK22:BN22" si="29">AZ22</f>
        <v>0.2</v>
      </c>
      <c r="BL22" s="2" t="str">
        <f t="shared" si="29"/>
        <v>0.5</v>
      </c>
      <c r="BM22" s="2" t="str">
        <f t="shared" si="29"/>
        <v>1</v>
      </c>
      <c r="BN22" s="2" t="str">
        <f t="shared" si="29"/>
        <v>1</v>
      </c>
      <c r="BO22" s="2" t="str">
        <f>F11</f>
        <v>49</v>
      </c>
      <c r="BP22" s="30" t="str">
        <f>F10</f>
        <v>46.0</v>
      </c>
      <c r="BQ22" s="2" t="str">
        <f>F9</f>
        <v>34</v>
      </c>
      <c r="BR22" s="2" t="str">
        <f t="shared" ref="BR22:BR38" si="76">((BQ22-BO22)*(BL22-BK22)-(BP22-BO22)*(BM22-BK22))/((BM22*BM22-BK22*BK22)*(BL22-BK22)-(BL22*BL22-BK22*BK22)*(BM22-BK22))</f>
        <v>-17.5</v>
      </c>
      <c r="BS22" s="2" t="str">
        <f t="shared" ref="BS22:BS38" si="77">(BP22-BO22-BR22*(BL22*BL22-BK22*BK22))/(BL22-BK22)</f>
        <v>2.25</v>
      </c>
      <c r="BT22" s="2" t="str">
        <f t="shared" ref="BT22:BT38" si="78">BO22-(BR22*BK22*BK22+BS22*BK22)</f>
        <v>49.25</v>
      </c>
      <c r="BU22" s="31" t="str">
        <f t="shared" ref="BU22:BU38" si="79">BR22*BN22*BN22+BS22*BN22+BT22</f>
        <v>34</v>
      </c>
      <c r="BV22" s="2" t="str">
        <f t="shared" ref="BV22:BY22" si="30">BK22</f>
        <v>0.2</v>
      </c>
      <c r="BW22" s="2" t="str">
        <f t="shared" si="30"/>
        <v>0.5</v>
      </c>
      <c r="BX22" s="2" t="str">
        <f t="shared" si="30"/>
        <v>1</v>
      </c>
      <c r="BY22" s="2" t="str">
        <f t="shared" si="30"/>
        <v>1</v>
      </c>
      <c r="BZ22" s="2" t="str">
        <f>H11</f>
        <v>0.19</v>
      </c>
      <c r="CA22" s="2" t="str">
        <f>H10</f>
        <v>0.29</v>
      </c>
      <c r="CB22" s="2" t="str">
        <f>H9</f>
        <v>0.33</v>
      </c>
      <c r="CC22" s="2" t="str">
        <f t="shared" ref="CC22:CC38" si="82">((CB22-BZ22)*(BW22-BV22)-(CA22-BZ22)*(BX22-BV22))/((BX22*BX22-BV22*BV22)*(BW22-BV22)-(BW22*BW22-BV22*BV22)*(BX22-BV22))</f>
        <v>-0.3166666667</v>
      </c>
      <c r="CD22" s="2" t="str">
        <f t="shared" ref="CD22:CD38" si="83">(CA22-BZ22-CC22*(BW22*BW22-BV22*BV22))/(BW22-BV22)</f>
        <v>0.555</v>
      </c>
      <c r="CE22" s="2" t="str">
        <f t="shared" ref="CE22:CE38" si="84">BZ22-(CC22*BV22*BV22+CD22*BV22)</f>
        <v>0.09166666667</v>
      </c>
      <c r="CF22" s="31" t="str">
        <f t="shared" ref="CF22:CF38" si="85">CC22*BY22*BY22+CD22*BY22+CE22</f>
        <v>0.33</v>
      </c>
      <c r="CG22" s="1"/>
    </row>
    <row r="23" ht="12.75" customHeight="1">
      <c r="A23" s="27" t="str">
        <f t="shared" si="31"/>
        <v>  </v>
      </c>
      <c r="B23" s="27" t="str">
        <f t="shared" si="32"/>
        <v>  </v>
      </c>
      <c r="D23" s="2" t="str">
        <f t="shared" si="33"/>
        <v>0.95</v>
      </c>
      <c r="E23" s="28" t="str">
        <f t="shared" si="34"/>
        <v>25.5</v>
      </c>
      <c r="F23" s="28" t="str">
        <f t="shared" si="35"/>
        <v>35.6</v>
      </c>
      <c r="G23" s="27" t="str">
        <f t="shared" si="36"/>
        <v>  </v>
      </c>
      <c r="H23" s="2" t="str">
        <f t="shared" si="37"/>
        <v>0.05887867553</v>
      </c>
      <c r="I23" s="2" t="str">
        <f t="shared" si="38"/>
        <v>0.06177625719</v>
      </c>
      <c r="J23" s="2" t="str">
        <f t="shared" si="39"/>
        <v>0.9530955453</v>
      </c>
      <c r="K23" s="2" t="str">
        <f t="shared" si="40"/>
        <v>0.5106516267</v>
      </c>
      <c r="L23" s="1"/>
      <c r="M23" s="2" t="str">
        <f t="shared" si="41"/>
        <v>3.097700891</v>
      </c>
      <c r="N23" s="2" t="str">
        <f t="shared" si="42"/>
        <v>0.4515630575</v>
      </c>
      <c r="O23" s="1"/>
      <c r="P23" s="29" t="str">
        <f t="shared" si="43"/>
        <v>7.75866912</v>
      </c>
      <c r="Q23" s="2" t="str">
        <f>'Текущий профиль'!S26</f>
        <v>51.00533152</v>
      </c>
      <c r="R23" s="2" t="str">
        <f t="shared" si="44"/>
        <v>161126.0378</v>
      </c>
      <c r="S23" s="2" t="str">
        <f t="shared" si="45"/>
        <v>0.09658531265</v>
      </c>
      <c r="T23" s="2" t="str">
        <f t="shared" si="46"/>
        <v>-0.001548657433</v>
      </c>
      <c r="U23" s="2" t="str">
        <f t="shared" ref="U23:U38" si="86">U22</f>
        <v>0.16</v>
      </c>
      <c r="V23" s="2" t="str">
        <f t="shared" si="47"/>
        <v>0.156</v>
      </c>
      <c r="W23" s="2" t="str">
        <f t="shared" si="48"/>
        <v>0.0595359375</v>
      </c>
      <c r="X23" s="2" t="str">
        <f t="shared" si="49"/>
        <v>0.05810119535</v>
      </c>
      <c r="Y23" s="2" t="str">
        <f t="shared" si="50"/>
        <v>0.09658531265</v>
      </c>
      <c r="Z23" s="2" t="str">
        <f t="shared" si="51"/>
        <v>0.76328125</v>
      </c>
      <c r="AA23" s="2" t="str">
        <f t="shared" si="52"/>
        <v>23.46023299</v>
      </c>
      <c r="AB23" s="2" t="str">
        <f t="shared" si="53"/>
        <v>0.3679917221</v>
      </c>
      <c r="AC23" s="30" t="str">
        <f t="shared" si="54"/>
        <v>-35.6</v>
      </c>
      <c r="AD23" s="2" t="str">
        <f t="shared" si="55"/>
        <v>-2.031912657</v>
      </c>
      <c r="AE23" s="2" t="str">
        <f t="shared" ref="AE23:AF23" si="56">AE22</f>
        <v>1</v>
      </c>
      <c r="AF23" s="2" t="str">
        <f t="shared" si="56"/>
        <v>0.08</v>
      </c>
      <c r="AG23" s="2" t="str">
        <f t="shared" si="57"/>
        <v>0.0002075253647</v>
      </c>
      <c r="AH23" s="2" t="str">
        <f t="shared" ref="AH23:AH38" si="88">AH22</f>
        <v>2.15</v>
      </c>
      <c r="AI23" s="2" t="str">
        <f t="shared" si="58"/>
        <v>1096.77314</v>
      </c>
      <c r="AJ23" s="2" t="str">
        <f t="shared" si="59"/>
        <v>0.01162324472</v>
      </c>
      <c r="AK23" s="2" t="str">
        <f t="shared" ref="AK23:AK37" si="89">AK22</f>
        <v>42</v>
      </c>
      <c r="AL23" s="2" t="str">
        <f t="shared" si="60"/>
        <v>18.96564842</v>
      </c>
      <c r="AM23" s="2" t="str">
        <f t="shared" ref="AM23:AM37" si="90">AM22+AL23</f>
        <v>38.15948831</v>
      </c>
      <c r="AN23" s="2" t="str">
        <f t="shared" si="61"/>
        <v>1038.369136</v>
      </c>
      <c r="AO23" s="2" t="str">
        <f t="shared" ref="AO23:AO37" si="91">AO22</f>
        <v>0.5</v>
      </c>
      <c r="AP23" s="2" t="str">
        <f t="shared" ref="AP23:AP37" si="92">AP22+M23</f>
        <v>6.490092687</v>
      </c>
      <c r="AQ23" s="2" t="str">
        <f t="shared" si="62"/>
        <v>9.652678204</v>
      </c>
      <c r="AR23" s="2" t="str">
        <f t="shared" si="63"/>
        <v>0.008503904237</v>
      </c>
      <c r="AS23" s="2" t="str">
        <f t="shared" si="64"/>
        <v>0.1094254923</v>
      </c>
      <c r="AT23" s="2" t="str">
        <f t="shared" ref="AT23:AT37" si="93">M23*0.5*(Y4+Y3)+AT22</f>
        <v>6.172955326</v>
      </c>
      <c r="AU23" s="2" t="str">
        <f t="shared" ref="AU23:AU37" si="94">N23*0.5*(Y3+Y4)+AU22</f>
        <v>0.8632671116</v>
      </c>
      <c r="AV23" s="2" t="str">
        <f t="shared" si="65"/>
        <v>-0.1053153881</v>
      </c>
      <c r="AW23" s="2" t="str">
        <f t="shared" si="66"/>
        <v>-0.001548657433</v>
      </c>
      <c r="AX23" s="1"/>
      <c r="AY23" s="1"/>
      <c r="AZ23" s="2" t="str">
        <f t="shared" ref="AZ23:BB23" si="67">AZ22</f>
        <v>0.2</v>
      </c>
      <c r="BA23" s="2" t="str">
        <f t="shared" si="67"/>
        <v>0.5</v>
      </c>
      <c r="BB23" s="2" t="str">
        <f t="shared" si="67"/>
        <v>1</v>
      </c>
      <c r="BC23" s="2" t="str">
        <f t="shared" si="68"/>
        <v>0.95</v>
      </c>
      <c r="BD23" s="2" t="str">
        <f t="shared" ref="BD23:BF23" si="69">BD22</f>
        <v>68</v>
      </c>
      <c r="BE23" s="30" t="str">
        <f t="shared" si="69"/>
        <v>43.0</v>
      </c>
      <c r="BF23" s="2" t="str">
        <f t="shared" si="69"/>
        <v>25</v>
      </c>
      <c r="BG23" s="2" t="str">
        <f t="shared" si="70"/>
        <v>59.16666667</v>
      </c>
      <c r="BH23" s="2" t="str">
        <f t="shared" si="71"/>
        <v>-124.75</v>
      </c>
      <c r="BI23" s="2" t="str">
        <f t="shared" si="72"/>
        <v>90.58333333</v>
      </c>
      <c r="BJ23" s="31" t="str">
        <f t="shared" si="73"/>
        <v>25.46875</v>
      </c>
      <c r="BK23" s="2" t="str">
        <f t="shared" ref="BK23:BM23" si="74">BK22</f>
        <v>0.2</v>
      </c>
      <c r="BL23" s="2" t="str">
        <f t="shared" si="74"/>
        <v>0.5</v>
      </c>
      <c r="BM23" s="2" t="str">
        <f t="shared" si="74"/>
        <v>1</v>
      </c>
      <c r="BN23" s="2" t="str">
        <f t="shared" ref="BN23:BN38" si="98">BC23</f>
        <v>0.95</v>
      </c>
      <c r="BO23" s="2" t="str">
        <f t="shared" ref="BO23:BQ23" si="75">BO22</f>
        <v>49</v>
      </c>
      <c r="BP23" s="30" t="str">
        <f t="shared" si="75"/>
        <v>46.0</v>
      </c>
      <c r="BQ23" s="2" t="str">
        <f t="shared" si="75"/>
        <v>34</v>
      </c>
      <c r="BR23" s="2" t="str">
        <f t="shared" si="76"/>
        <v>-17.5</v>
      </c>
      <c r="BS23" s="2" t="str">
        <f t="shared" si="77"/>
        <v>2.25</v>
      </c>
      <c r="BT23" s="2" t="str">
        <f t="shared" si="78"/>
        <v>49.25</v>
      </c>
      <c r="BU23" s="31" t="str">
        <f t="shared" si="79"/>
        <v>35.59375</v>
      </c>
      <c r="BV23" s="2" t="str">
        <f t="shared" ref="BV23:BX23" si="80">BV22</f>
        <v>0.2</v>
      </c>
      <c r="BW23" s="2" t="str">
        <f t="shared" si="80"/>
        <v>0.5</v>
      </c>
      <c r="BX23" s="2" t="str">
        <f t="shared" si="80"/>
        <v>1</v>
      </c>
      <c r="BY23" s="2" t="str">
        <f t="shared" ref="BY23:BY38" si="101">BN23</f>
        <v>0.95</v>
      </c>
      <c r="BZ23" s="2" t="str">
        <f t="shared" ref="BZ23:CB23" si="81">BZ22</f>
        <v>0.19</v>
      </c>
      <c r="CA23" s="2" t="str">
        <f t="shared" si="81"/>
        <v>0.29</v>
      </c>
      <c r="CB23" s="2" t="str">
        <f t="shared" si="81"/>
        <v>0.33</v>
      </c>
      <c r="CC23" s="2" t="str">
        <f t="shared" si="82"/>
        <v>-0.3166666667</v>
      </c>
      <c r="CD23" s="2" t="str">
        <f t="shared" si="83"/>
        <v>0.555</v>
      </c>
      <c r="CE23" s="2" t="str">
        <f t="shared" si="84"/>
        <v>0.09166666667</v>
      </c>
      <c r="CF23" s="31" t="str">
        <f t="shared" si="85"/>
        <v>0.333125</v>
      </c>
      <c r="CG23" s="1"/>
    </row>
    <row r="24" ht="12.75" customHeight="1">
      <c r="A24" s="27" t="str">
        <f t="shared" si="31"/>
        <v>  </v>
      </c>
      <c r="B24" s="27" t="str">
        <f t="shared" si="32"/>
        <v>  </v>
      </c>
      <c r="D24" s="2" t="str">
        <f t="shared" si="33"/>
        <v>0.9</v>
      </c>
      <c r="E24" s="28" t="str">
        <f t="shared" si="34"/>
        <v>26.2</v>
      </c>
      <c r="F24" s="28" t="str">
        <f t="shared" si="35"/>
        <v>37.1</v>
      </c>
      <c r="G24" s="27" t="str">
        <f t="shared" si="36"/>
        <v>  </v>
      </c>
      <c r="H24" s="2" t="str">
        <f t="shared" si="37"/>
        <v>0.06104930721</v>
      </c>
      <c r="I24" s="2" t="str">
        <f t="shared" si="38"/>
        <v>0.06510768288</v>
      </c>
      <c r="J24" s="2" t="str">
        <f t="shared" si="39"/>
        <v>0.9376667162</v>
      </c>
      <c r="K24" s="2" t="str">
        <f t="shared" si="40"/>
        <v>0.486845539</v>
      </c>
      <c r="L24" s="1"/>
      <c r="M24" s="2" t="str">
        <f t="shared" si="41"/>
        <v>2.895930634</v>
      </c>
      <c r="N24" s="2" t="str">
        <f t="shared" si="42"/>
        <v>0.4458211511</v>
      </c>
      <c r="O24" s="1"/>
      <c r="P24" s="29" t="str">
        <f t="shared" si="43"/>
        <v>8.407959642</v>
      </c>
      <c r="Q24" s="2" t="str">
        <f>'Текущий профиль'!S27</f>
        <v>42.55157872</v>
      </c>
      <c r="R24" s="2" t="str">
        <f t="shared" si="44"/>
        <v>158297.851</v>
      </c>
      <c r="S24" s="2" t="str">
        <f t="shared" si="45"/>
        <v>0.1002710038</v>
      </c>
      <c r="T24" s="2" t="str">
        <f t="shared" si="46"/>
        <v>-0.001804654163</v>
      </c>
      <c r="U24" s="2" t="str">
        <f t="shared" si="86"/>
        <v>0.16</v>
      </c>
      <c r="V24" s="2" t="str">
        <f t="shared" si="47"/>
        <v>0.156</v>
      </c>
      <c r="W24" s="2" t="str">
        <f t="shared" si="48"/>
        <v>0.06175</v>
      </c>
      <c r="X24" s="2" t="str">
        <f t="shared" si="49"/>
        <v>0.06015004615</v>
      </c>
      <c r="Y24" s="2" t="str">
        <f t="shared" si="50"/>
        <v>0.1002710038</v>
      </c>
      <c r="Z24" s="2" t="str">
        <f t="shared" si="51"/>
        <v>0.7916666667</v>
      </c>
      <c r="AA24" s="2" t="str">
        <f t="shared" si="52"/>
        <v>24.19170902</v>
      </c>
      <c r="AB24" s="2" t="str">
        <f t="shared" si="53"/>
        <v>0.3815581701</v>
      </c>
      <c r="AC24" s="30" t="str">
        <f t="shared" si="54"/>
        <v>-37.1</v>
      </c>
      <c r="AD24" s="2" t="str">
        <f t="shared" si="55"/>
        <v>-2.379208729</v>
      </c>
      <c r="AE24" s="2" t="str">
        <f t="shared" ref="AE24:AF24" si="87">AE23</f>
        <v>1</v>
      </c>
      <c r="AF24" s="2" t="str">
        <f t="shared" si="87"/>
        <v>0.08</v>
      </c>
      <c r="AG24" s="2" t="str">
        <f t="shared" si="57"/>
        <v>0.0002163816147</v>
      </c>
      <c r="AH24" s="2" t="str">
        <f t="shared" si="88"/>
        <v>2.15</v>
      </c>
      <c r="AI24" s="2" t="str">
        <f t="shared" si="58"/>
        <v>1096.77314</v>
      </c>
      <c r="AJ24" s="2" t="str">
        <f t="shared" si="59"/>
        <v>0.01213118778</v>
      </c>
      <c r="AK24" s="2" t="str">
        <f t="shared" si="89"/>
        <v>42</v>
      </c>
      <c r="AL24" s="2" t="str">
        <f t="shared" si="60"/>
        <v>18.72448835</v>
      </c>
      <c r="AM24" s="2" t="str">
        <f t="shared" si="90"/>
        <v>56.88397666</v>
      </c>
      <c r="AN24" s="2" t="str">
        <f t="shared" si="61"/>
        <v>935.9217287</v>
      </c>
      <c r="AO24" s="2" t="str">
        <f t="shared" si="91"/>
        <v>0.5</v>
      </c>
      <c r="AP24" s="2" t="str">
        <f t="shared" si="92"/>
        <v>9.386023322</v>
      </c>
      <c r="AQ24" s="2" t="str">
        <f t="shared" si="62"/>
        <v>9.369825357</v>
      </c>
      <c r="AR24" s="2" t="str">
        <f t="shared" si="63"/>
        <v>0.008250146942</v>
      </c>
      <c r="AS24" s="2" t="str">
        <f t="shared" si="64"/>
        <v>0.1009215881</v>
      </c>
      <c r="AT24" s="2" t="str">
        <f t="shared" si="93"/>
        <v>8.706894631</v>
      </c>
      <c r="AU24" s="2" t="str">
        <f t="shared" si="94"/>
        <v>1.253360619</v>
      </c>
      <c r="AV24" s="2" t="str">
        <f t="shared" si="65"/>
        <v>-0.1251242337</v>
      </c>
      <c r="AW24" s="2" t="str">
        <f t="shared" si="66"/>
        <v>-0.001804654163</v>
      </c>
      <c r="AX24" s="1"/>
      <c r="AY24" s="1"/>
      <c r="AZ24" s="2" t="str">
        <f t="shared" ref="AZ24:BB24" si="95">AZ23</f>
        <v>0.2</v>
      </c>
      <c r="BA24" s="2" t="str">
        <f t="shared" si="95"/>
        <v>0.5</v>
      </c>
      <c r="BB24" s="2" t="str">
        <f t="shared" si="95"/>
        <v>1</v>
      </c>
      <c r="BC24" s="2" t="str">
        <f t="shared" si="68"/>
        <v>0.9</v>
      </c>
      <c r="BD24" s="2" t="str">
        <f t="shared" ref="BD24:BF24" si="96">BD23</f>
        <v>68</v>
      </c>
      <c r="BE24" s="30" t="str">
        <f t="shared" si="96"/>
        <v>43.0</v>
      </c>
      <c r="BF24" s="2" t="str">
        <f t="shared" si="96"/>
        <v>25</v>
      </c>
      <c r="BG24" s="2" t="str">
        <f t="shared" si="70"/>
        <v>59.16666667</v>
      </c>
      <c r="BH24" s="2" t="str">
        <f t="shared" si="71"/>
        <v>-124.75</v>
      </c>
      <c r="BI24" s="2" t="str">
        <f t="shared" si="72"/>
        <v>90.58333333</v>
      </c>
      <c r="BJ24" s="31" t="str">
        <f t="shared" si="73"/>
        <v>26.23333333</v>
      </c>
      <c r="BK24" s="2" t="str">
        <f t="shared" ref="BK24:BM24" si="97">BK23</f>
        <v>0.2</v>
      </c>
      <c r="BL24" s="2" t="str">
        <f t="shared" si="97"/>
        <v>0.5</v>
      </c>
      <c r="BM24" s="2" t="str">
        <f t="shared" si="97"/>
        <v>1</v>
      </c>
      <c r="BN24" s="2" t="str">
        <f t="shared" si="98"/>
        <v>0.9</v>
      </c>
      <c r="BO24" s="2" t="str">
        <f t="shared" ref="BO24:BQ24" si="99">BO23</f>
        <v>49</v>
      </c>
      <c r="BP24" s="30" t="str">
        <f t="shared" si="99"/>
        <v>46.0</v>
      </c>
      <c r="BQ24" s="2" t="str">
        <f t="shared" si="99"/>
        <v>34</v>
      </c>
      <c r="BR24" s="2" t="str">
        <f t="shared" si="76"/>
        <v>-17.5</v>
      </c>
      <c r="BS24" s="2" t="str">
        <f t="shared" si="77"/>
        <v>2.25</v>
      </c>
      <c r="BT24" s="2" t="str">
        <f t="shared" si="78"/>
        <v>49.25</v>
      </c>
      <c r="BU24" s="31" t="str">
        <f t="shared" si="79"/>
        <v>37.1</v>
      </c>
      <c r="BV24" s="2" t="str">
        <f t="shared" ref="BV24:BX24" si="100">BV23</f>
        <v>0.2</v>
      </c>
      <c r="BW24" s="2" t="str">
        <f t="shared" si="100"/>
        <v>0.5</v>
      </c>
      <c r="BX24" s="2" t="str">
        <f t="shared" si="100"/>
        <v>1</v>
      </c>
      <c r="BY24" s="2" t="str">
        <f t="shared" si="101"/>
        <v>0.9</v>
      </c>
      <c r="BZ24" s="2" t="str">
        <f t="shared" ref="BZ24:CB24" si="102">BZ23</f>
        <v>0.19</v>
      </c>
      <c r="CA24" s="2" t="str">
        <f t="shared" si="102"/>
        <v>0.29</v>
      </c>
      <c r="CB24" s="2" t="str">
        <f t="shared" si="102"/>
        <v>0.33</v>
      </c>
      <c r="CC24" s="2" t="str">
        <f t="shared" si="82"/>
        <v>-0.3166666667</v>
      </c>
      <c r="CD24" s="2" t="str">
        <f t="shared" si="83"/>
        <v>0.555</v>
      </c>
      <c r="CE24" s="2" t="str">
        <f t="shared" si="84"/>
        <v>0.09166666667</v>
      </c>
      <c r="CF24" s="31" t="str">
        <f t="shared" si="85"/>
        <v>0.3346666667</v>
      </c>
      <c r="CG24" s="1"/>
    </row>
    <row r="25" ht="12.75" customHeight="1">
      <c r="A25" s="27" t="str">
        <f t="shared" si="31"/>
        <v>  </v>
      </c>
      <c r="B25" s="27" t="str">
        <f t="shared" si="32"/>
        <v>  </v>
      </c>
      <c r="D25" s="2" t="str">
        <f t="shared" si="33"/>
        <v>0.85</v>
      </c>
      <c r="E25" s="28" t="str">
        <f t="shared" si="34"/>
        <v>27.3</v>
      </c>
      <c r="F25" s="28" t="str">
        <f t="shared" si="35"/>
        <v>38.5</v>
      </c>
      <c r="G25" s="27" t="str">
        <f t="shared" si="36"/>
        <v>  </v>
      </c>
      <c r="H25" s="2" t="str">
        <f t="shared" si="37"/>
        <v>0.06340705006</v>
      </c>
      <c r="I25" s="2" t="str">
        <f t="shared" si="38"/>
        <v>0.0674836202</v>
      </c>
      <c r="J25" s="2" t="str">
        <f t="shared" si="39"/>
        <v>0.9395917094</v>
      </c>
      <c r="K25" s="2" t="str">
        <f t="shared" si="40"/>
        <v>0.476763135</v>
      </c>
      <c r="L25" s="1"/>
      <c r="M25" s="2" t="str">
        <f t="shared" si="41"/>
        <v>2.738161119</v>
      </c>
      <c r="N25" s="2" t="str">
        <f t="shared" si="42"/>
        <v>0.4394897633</v>
      </c>
      <c r="O25" s="1"/>
      <c r="P25" s="29" t="str">
        <f t="shared" si="43"/>
        <v>8.972215942</v>
      </c>
      <c r="Q25" s="2" t="str">
        <f>'Текущий профиль'!S28</f>
        <v>37.28140801</v>
      </c>
      <c r="R25" s="2" t="str">
        <f t="shared" si="44"/>
        <v>155303.7932</v>
      </c>
      <c r="S25" s="2" t="str">
        <f t="shared" si="45"/>
        <v>0.1043068418</v>
      </c>
      <c r="T25" s="2" t="str">
        <f t="shared" si="46"/>
        <v>-0.001941973692</v>
      </c>
      <c r="U25" s="2" t="str">
        <f t="shared" si="86"/>
        <v>0.16</v>
      </c>
      <c r="V25" s="2" t="str">
        <f t="shared" si="47"/>
        <v>0.156</v>
      </c>
      <c r="W25" s="2" t="str">
        <f t="shared" si="48"/>
        <v>0.0641671875</v>
      </c>
      <c r="X25" s="2" t="str">
        <f t="shared" si="49"/>
        <v>0.06237301624</v>
      </c>
      <c r="Y25" s="2" t="str">
        <f t="shared" si="50"/>
        <v>0.1043068418</v>
      </c>
      <c r="Z25" s="2" t="str">
        <f t="shared" si="51"/>
        <v>0.82265625</v>
      </c>
      <c r="AA25" s="2" t="str">
        <f t="shared" si="52"/>
        <v>24.99574196</v>
      </c>
      <c r="AB25" s="2" t="str">
        <f t="shared" si="53"/>
        <v>0.3962940629</v>
      </c>
      <c r="AC25" s="30" t="str">
        <f t="shared" si="54"/>
        <v>-38.5</v>
      </c>
      <c r="AD25" s="2" t="str">
        <f t="shared" si="55"/>
        <v>-2.591280625</v>
      </c>
      <c r="AE25" s="2" t="str">
        <f t="shared" ref="AE25:AF25" si="103">AE24</f>
        <v>1</v>
      </c>
      <c r="AF25" s="2" t="str">
        <f t="shared" si="103"/>
        <v>0.08</v>
      </c>
      <c r="AG25" s="2" t="str">
        <f t="shared" si="57"/>
        <v>0.0002260503647</v>
      </c>
      <c r="AH25" s="2" t="str">
        <f t="shared" si="88"/>
        <v>2.15</v>
      </c>
      <c r="AI25" s="2" t="str">
        <f t="shared" si="58"/>
        <v>1096.77314</v>
      </c>
      <c r="AJ25" s="2" t="str">
        <f t="shared" si="59"/>
        <v>0.01268368725</v>
      </c>
      <c r="AK25" s="2" t="str">
        <f t="shared" si="89"/>
        <v>42</v>
      </c>
      <c r="AL25" s="2" t="str">
        <f t="shared" si="60"/>
        <v>18.45857006</v>
      </c>
      <c r="AM25" s="2" t="str">
        <f t="shared" si="90"/>
        <v>75.34254672</v>
      </c>
      <c r="AN25" s="2" t="str">
        <f t="shared" si="61"/>
        <v>852.0057344</v>
      </c>
      <c r="AO25" s="2" t="str">
        <f t="shared" si="91"/>
        <v>0.5</v>
      </c>
      <c r="AP25" s="2" t="str">
        <f t="shared" si="92"/>
        <v>12.12418444</v>
      </c>
      <c r="AQ25" s="2" t="str">
        <f t="shared" si="62"/>
        <v>9.141981349</v>
      </c>
      <c r="AR25" s="2" t="str">
        <f t="shared" si="63"/>
        <v>0.008046041027</v>
      </c>
      <c r="AS25" s="2" t="str">
        <f t="shared" si="64"/>
        <v>0.09267144114</v>
      </c>
      <c r="AT25" s="2" t="str">
        <f t="shared" si="93"/>
        <v>10.96587755</v>
      </c>
      <c r="AU25" s="2" t="str">
        <f t="shared" si="94"/>
        <v>1.615939674</v>
      </c>
      <c r="AV25" s="2" t="str">
        <f t="shared" si="65"/>
        <v>-0.1374953721</v>
      </c>
      <c r="AW25" s="2" t="str">
        <f t="shared" si="66"/>
        <v>-0.001941973692</v>
      </c>
      <c r="AX25" s="1"/>
      <c r="AY25" s="1"/>
      <c r="AZ25" s="2" t="str">
        <f t="shared" ref="AZ25:BB25" si="104">AZ24</f>
        <v>0.2</v>
      </c>
      <c r="BA25" s="2" t="str">
        <f t="shared" si="104"/>
        <v>0.5</v>
      </c>
      <c r="BB25" s="2" t="str">
        <f t="shared" si="104"/>
        <v>1</v>
      </c>
      <c r="BC25" s="2" t="str">
        <f t="shared" si="68"/>
        <v>0.85</v>
      </c>
      <c r="BD25" s="2" t="str">
        <f t="shared" ref="BD25:BF25" si="105">BD24</f>
        <v>68</v>
      </c>
      <c r="BE25" s="30" t="str">
        <f t="shared" si="105"/>
        <v>43.0</v>
      </c>
      <c r="BF25" s="2" t="str">
        <f t="shared" si="105"/>
        <v>25</v>
      </c>
      <c r="BG25" s="2" t="str">
        <f t="shared" si="70"/>
        <v>59.16666667</v>
      </c>
      <c r="BH25" s="2" t="str">
        <f t="shared" si="71"/>
        <v>-124.75</v>
      </c>
      <c r="BI25" s="2" t="str">
        <f t="shared" si="72"/>
        <v>90.58333333</v>
      </c>
      <c r="BJ25" s="31" t="str">
        <f t="shared" si="73"/>
        <v>27.29375</v>
      </c>
      <c r="BK25" s="2" t="str">
        <f t="shared" ref="BK25:BM25" si="106">BK24</f>
        <v>0.2</v>
      </c>
      <c r="BL25" s="2" t="str">
        <f t="shared" si="106"/>
        <v>0.5</v>
      </c>
      <c r="BM25" s="2" t="str">
        <f t="shared" si="106"/>
        <v>1</v>
      </c>
      <c r="BN25" s="2" t="str">
        <f t="shared" si="98"/>
        <v>0.85</v>
      </c>
      <c r="BO25" s="2" t="str">
        <f t="shared" ref="BO25:BQ25" si="107">BO24</f>
        <v>49</v>
      </c>
      <c r="BP25" s="30" t="str">
        <f t="shared" si="107"/>
        <v>46.0</v>
      </c>
      <c r="BQ25" s="2" t="str">
        <f t="shared" si="107"/>
        <v>34</v>
      </c>
      <c r="BR25" s="2" t="str">
        <f t="shared" si="76"/>
        <v>-17.5</v>
      </c>
      <c r="BS25" s="2" t="str">
        <f t="shared" si="77"/>
        <v>2.25</v>
      </c>
      <c r="BT25" s="2" t="str">
        <f t="shared" si="78"/>
        <v>49.25</v>
      </c>
      <c r="BU25" s="31" t="str">
        <f t="shared" si="79"/>
        <v>38.51875</v>
      </c>
      <c r="BV25" s="2" t="str">
        <f t="shared" ref="BV25:BX25" si="108">BV24</f>
        <v>0.2</v>
      </c>
      <c r="BW25" s="2" t="str">
        <f t="shared" si="108"/>
        <v>0.5</v>
      </c>
      <c r="BX25" s="2" t="str">
        <f t="shared" si="108"/>
        <v>1</v>
      </c>
      <c r="BY25" s="2" t="str">
        <f t="shared" si="101"/>
        <v>0.85</v>
      </c>
      <c r="BZ25" s="2" t="str">
        <f t="shared" ref="BZ25:CB25" si="109">BZ24</f>
        <v>0.19</v>
      </c>
      <c r="CA25" s="2" t="str">
        <f t="shared" si="109"/>
        <v>0.29</v>
      </c>
      <c r="CB25" s="2" t="str">
        <f t="shared" si="109"/>
        <v>0.33</v>
      </c>
      <c r="CC25" s="2" t="str">
        <f t="shared" si="82"/>
        <v>-0.3166666667</v>
      </c>
      <c r="CD25" s="2" t="str">
        <f t="shared" si="83"/>
        <v>0.555</v>
      </c>
      <c r="CE25" s="2" t="str">
        <f t="shared" si="84"/>
        <v>0.09166666667</v>
      </c>
      <c r="CF25" s="31" t="str">
        <f t="shared" si="85"/>
        <v>0.334625</v>
      </c>
      <c r="CG25" s="1"/>
    </row>
    <row r="26" ht="12.75" customHeight="1">
      <c r="A26" s="27" t="str">
        <f t="shared" si="31"/>
        <v>  </v>
      </c>
      <c r="B26" s="27" t="str">
        <f t="shared" si="32"/>
        <v>  </v>
      </c>
      <c r="D26" s="2" t="str">
        <f t="shared" si="33"/>
        <v>0.8</v>
      </c>
      <c r="E26" s="28" t="str">
        <f t="shared" si="34"/>
        <v>28.7</v>
      </c>
      <c r="F26" s="28" t="str">
        <f t="shared" si="35"/>
        <v>39.9</v>
      </c>
      <c r="G26" s="27" t="str">
        <f t="shared" si="36"/>
        <v>  </v>
      </c>
      <c r="H26" s="2" t="str">
        <f t="shared" si="37"/>
        <v>0.06594554795</v>
      </c>
      <c r="I26" s="2" t="str">
        <f t="shared" si="38"/>
        <v>0.06922674735</v>
      </c>
      <c r="J26" s="2" t="str">
        <f t="shared" si="39"/>
        <v>0.9526021441</v>
      </c>
      <c r="K26" s="2" t="str">
        <f t="shared" si="40"/>
        <v>0.4766251977</v>
      </c>
      <c r="L26" s="1"/>
      <c r="M26" s="2" t="str">
        <f t="shared" si="41"/>
        <v>2.599929635</v>
      </c>
      <c r="N26" s="2" t="str">
        <f t="shared" si="42"/>
        <v>0.432288189</v>
      </c>
      <c r="O26" s="1"/>
      <c r="P26" s="29" t="str">
        <f t="shared" si="43"/>
        <v>9.459475009</v>
      </c>
      <c r="Q26" s="2" t="str">
        <f>'Текущий профиль'!S29</f>
        <v>33.81225038</v>
      </c>
      <c r="R26" s="2" t="str">
        <f t="shared" si="44"/>
        <v>152048.384</v>
      </c>
      <c r="S26" s="2" t="str">
        <f t="shared" si="45"/>
        <v>0.1086966033</v>
      </c>
      <c r="T26" s="2" t="str">
        <f t="shared" si="46"/>
        <v>-0.001958920768</v>
      </c>
      <c r="U26" s="2" t="str">
        <f t="shared" si="86"/>
        <v>0.16</v>
      </c>
      <c r="V26" s="2" t="str">
        <f t="shared" si="47"/>
        <v>0.156</v>
      </c>
      <c r="W26" s="2" t="str">
        <f t="shared" si="48"/>
        <v>0.0667875</v>
      </c>
      <c r="X26" s="2" t="str">
        <f t="shared" si="49"/>
        <v>0.06476585854</v>
      </c>
      <c r="Y26" s="2" t="str">
        <f t="shared" si="50"/>
        <v>0.1086966033</v>
      </c>
      <c r="Z26" s="2" t="str">
        <f t="shared" si="51"/>
        <v>0.85625</v>
      </c>
      <c r="AA26" s="2" t="str">
        <f t="shared" si="52"/>
        <v>25.87352285</v>
      </c>
      <c r="AB26" s="2" t="str">
        <f t="shared" si="53"/>
        <v>0.4121596747</v>
      </c>
      <c r="AC26" s="30" t="str">
        <f t="shared" si="54"/>
        <v>-39.9</v>
      </c>
      <c r="AD26" s="2" t="str">
        <f t="shared" si="55"/>
        <v>-2.666937324</v>
      </c>
      <c r="AE26" s="2" t="str">
        <f t="shared" ref="AE26:AF26" si="110">AE25</f>
        <v>1</v>
      </c>
      <c r="AF26" s="2" t="str">
        <f t="shared" si="110"/>
        <v>0.08</v>
      </c>
      <c r="AG26" s="2" t="str">
        <f t="shared" si="57"/>
        <v>0.0002365316147</v>
      </c>
      <c r="AH26" s="2" t="str">
        <f t="shared" si="88"/>
        <v>2.15</v>
      </c>
      <c r="AI26" s="2" t="str">
        <f t="shared" si="58"/>
        <v>1096.77314</v>
      </c>
      <c r="AJ26" s="2" t="str">
        <f t="shared" si="59"/>
        <v>0.01328074313</v>
      </c>
      <c r="AK26" s="2" t="str">
        <f t="shared" si="89"/>
        <v>42</v>
      </c>
      <c r="AL26" s="2" t="str">
        <f t="shared" si="60"/>
        <v>18.15610394</v>
      </c>
      <c r="AM26" s="2" t="str">
        <f t="shared" si="90"/>
        <v>93.49865066</v>
      </c>
      <c r="AN26" s="2" t="str">
        <f t="shared" si="61"/>
        <v>778.0864175</v>
      </c>
      <c r="AO26" s="2" t="str">
        <f t="shared" si="91"/>
        <v>0.5</v>
      </c>
      <c r="AP26" s="2" t="str">
        <f t="shared" si="92"/>
        <v>14.72411408</v>
      </c>
      <c r="AQ26" s="2" t="str">
        <f t="shared" si="62"/>
        <v>8.949672474</v>
      </c>
      <c r="AR26" s="2" t="str">
        <f t="shared" si="63"/>
        <v>0.007873971428</v>
      </c>
      <c r="AS26" s="2" t="str">
        <f t="shared" si="64"/>
        <v>0.08462540011</v>
      </c>
      <c r="AT26" s="2" t="str">
        <f t="shared" si="93"/>
        <v>12.98082302</v>
      </c>
      <c r="AU26" s="2" t="str">
        <f t="shared" si="94"/>
        <v>1.95096302</v>
      </c>
      <c r="AV26" s="2" t="str">
        <f t="shared" si="65"/>
        <v>-0.1419599777</v>
      </c>
      <c r="AW26" s="2" t="str">
        <f t="shared" si="66"/>
        <v>-0.001958920768</v>
      </c>
      <c r="AX26" s="1"/>
      <c r="AY26" s="1"/>
      <c r="AZ26" s="2" t="str">
        <f t="shared" ref="AZ26:BB26" si="111">AZ25</f>
        <v>0.2</v>
      </c>
      <c r="BA26" s="2" t="str">
        <f t="shared" si="111"/>
        <v>0.5</v>
      </c>
      <c r="BB26" s="2" t="str">
        <f t="shared" si="111"/>
        <v>1</v>
      </c>
      <c r="BC26" s="2" t="str">
        <f t="shared" si="68"/>
        <v>0.8</v>
      </c>
      <c r="BD26" s="2" t="str">
        <f t="shared" ref="BD26:BF26" si="112">BD25</f>
        <v>68</v>
      </c>
      <c r="BE26" s="30" t="str">
        <f t="shared" si="112"/>
        <v>43.0</v>
      </c>
      <c r="BF26" s="2" t="str">
        <f t="shared" si="112"/>
        <v>25</v>
      </c>
      <c r="BG26" s="2" t="str">
        <f t="shared" si="70"/>
        <v>59.16666667</v>
      </c>
      <c r="BH26" s="2" t="str">
        <f t="shared" si="71"/>
        <v>-124.75</v>
      </c>
      <c r="BI26" s="2" t="str">
        <f t="shared" si="72"/>
        <v>90.58333333</v>
      </c>
      <c r="BJ26" s="31" t="str">
        <f t="shared" si="73"/>
        <v>28.65</v>
      </c>
      <c r="BK26" s="2" t="str">
        <f t="shared" ref="BK26:BM26" si="113">BK25</f>
        <v>0.2</v>
      </c>
      <c r="BL26" s="2" t="str">
        <f t="shared" si="113"/>
        <v>0.5</v>
      </c>
      <c r="BM26" s="2" t="str">
        <f t="shared" si="113"/>
        <v>1</v>
      </c>
      <c r="BN26" s="2" t="str">
        <f t="shared" si="98"/>
        <v>0.8</v>
      </c>
      <c r="BO26" s="2" t="str">
        <f t="shared" ref="BO26:BQ26" si="114">BO25</f>
        <v>49</v>
      </c>
      <c r="BP26" s="30" t="str">
        <f t="shared" si="114"/>
        <v>46.0</v>
      </c>
      <c r="BQ26" s="2" t="str">
        <f t="shared" si="114"/>
        <v>34</v>
      </c>
      <c r="BR26" s="2" t="str">
        <f t="shared" si="76"/>
        <v>-17.5</v>
      </c>
      <c r="BS26" s="2" t="str">
        <f t="shared" si="77"/>
        <v>2.25</v>
      </c>
      <c r="BT26" s="2" t="str">
        <f t="shared" si="78"/>
        <v>49.25</v>
      </c>
      <c r="BU26" s="31" t="str">
        <f t="shared" si="79"/>
        <v>39.85</v>
      </c>
      <c r="BV26" s="2" t="str">
        <f t="shared" ref="BV26:BX26" si="115">BV25</f>
        <v>0.2</v>
      </c>
      <c r="BW26" s="2" t="str">
        <f t="shared" si="115"/>
        <v>0.5</v>
      </c>
      <c r="BX26" s="2" t="str">
        <f t="shared" si="115"/>
        <v>1</v>
      </c>
      <c r="BY26" s="2" t="str">
        <f t="shared" si="101"/>
        <v>0.8</v>
      </c>
      <c r="BZ26" s="2" t="str">
        <f t="shared" ref="BZ26:CB26" si="116">BZ25</f>
        <v>0.19</v>
      </c>
      <c r="CA26" s="2" t="str">
        <f t="shared" si="116"/>
        <v>0.29</v>
      </c>
      <c r="CB26" s="2" t="str">
        <f t="shared" si="116"/>
        <v>0.33</v>
      </c>
      <c r="CC26" s="2" t="str">
        <f t="shared" si="82"/>
        <v>-0.3166666667</v>
      </c>
      <c r="CD26" s="2" t="str">
        <f t="shared" si="83"/>
        <v>0.555</v>
      </c>
      <c r="CE26" s="2" t="str">
        <f t="shared" si="84"/>
        <v>0.09166666667</v>
      </c>
      <c r="CF26" s="31" t="str">
        <f t="shared" si="85"/>
        <v>0.333</v>
      </c>
      <c r="CG26" s="1"/>
    </row>
    <row r="27" ht="12.75" customHeight="1">
      <c r="A27" s="27" t="str">
        <f t="shared" si="31"/>
        <v>  </v>
      </c>
      <c r="B27" s="27" t="str">
        <f t="shared" si="32"/>
        <v>  </v>
      </c>
      <c r="D27" s="2" t="str">
        <f t="shared" si="33"/>
        <v>0.75</v>
      </c>
      <c r="E27" s="28" t="str">
        <f t="shared" si="34"/>
        <v>30.3</v>
      </c>
      <c r="F27" s="28" t="str">
        <f t="shared" si="35"/>
        <v>41.1</v>
      </c>
      <c r="G27" s="27" t="str">
        <f t="shared" si="36"/>
        <v>  </v>
      </c>
      <c r="H27" s="2" t="str">
        <f t="shared" si="37"/>
        <v>0.06865680959</v>
      </c>
      <c r="I27" s="2" t="str">
        <f t="shared" si="38"/>
        <v>0.07052936856</v>
      </c>
      <c r="J27" s="2" t="str">
        <f t="shared" si="39"/>
        <v>0.9734499399</v>
      </c>
      <c r="K27" s="2" t="str">
        <f t="shared" si="40"/>
        <v>0.4858523993</v>
      </c>
      <c r="L27" s="1"/>
      <c r="M27" s="2" t="str">
        <f t="shared" si="41"/>
        <v>2.468282348</v>
      </c>
      <c r="N27" s="2" t="str">
        <f t="shared" si="42"/>
        <v>0.4239357225</v>
      </c>
      <c r="O27" s="1"/>
      <c r="P27" s="29" t="str">
        <f t="shared" si="43"/>
        <v>9.880167544</v>
      </c>
      <c r="Q27" s="2" t="str">
        <f>'Текущий профиль'!S30</f>
        <v>31.73229189</v>
      </c>
      <c r="R27" s="2" t="str">
        <f t="shared" si="44"/>
        <v>148436.2342</v>
      </c>
      <c r="S27" s="2" t="str">
        <f t="shared" si="45"/>
        <v>0.1134446516</v>
      </c>
      <c r="T27" s="2" t="str">
        <f t="shared" si="46"/>
        <v>-0.001858728951</v>
      </c>
      <c r="U27" s="2" t="str">
        <f t="shared" si="86"/>
        <v>0.16</v>
      </c>
      <c r="V27" s="2" t="str">
        <f t="shared" si="47"/>
        <v>0.156</v>
      </c>
      <c r="W27" s="2" t="str">
        <f t="shared" si="48"/>
        <v>0.0696109375</v>
      </c>
      <c r="X27" s="2" t="str">
        <f t="shared" si="49"/>
        <v>0.06732372121</v>
      </c>
      <c r="Y27" s="2" t="str">
        <f t="shared" si="50"/>
        <v>0.1134446516</v>
      </c>
      <c r="Z27" s="2" t="str">
        <f t="shared" si="51"/>
        <v>0.8924479167</v>
      </c>
      <c r="AA27" s="2" t="str">
        <f t="shared" si="52"/>
        <v>26.82623487</v>
      </c>
      <c r="AB27" s="2" t="str">
        <f t="shared" si="53"/>
        <v>0.42910506</v>
      </c>
      <c r="AC27" s="30" t="str">
        <f t="shared" si="54"/>
        <v>-41.1</v>
      </c>
      <c r="AD27" s="2" t="str">
        <f t="shared" si="55"/>
        <v>-2.604995623</v>
      </c>
      <c r="AE27" s="2" t="str">
        <f t="shared" ref="AE27:AF27" si="117">AE26</f>
        <v>1</v>
      </c>
      <c r="AF27" s="2" t="str">
        <f t="shared" si="117"/>
        <v>0.08</v>
      </c>
      <c r="AG27" s="2" t="str">
        <f t="shared" si="57"/>
        <v>0.0002478253647</v>
      </c>
      <c r="AH27" s="2" t="str">
        <f t="shared" si="88"/>
        <v>2.15</v>
      </c>
      <c r="AI27" s="2" t="str">
        <f t="shared" si="58"/>
        <v>1096.77314</v>
      </c>
      <c r="AJ27" s="2" t="str">
        <f t="shared" si="59"/>
        <v>0.01392235542</v>
      </c>
      <c r="AK27" s="2" t="str">
        <f t="shared" si="89"/>
        <v>42</v>
      </c>
      <c r="AL27" s="2" t="str">
        <f t="shared" si="60"/>
        <v>17.80530035</v>
      </c>
      <c r="AM27" s="2" t="str">
        <f t="shared" si="90"/>
        <v>111.303951</v>
      </c>
      <c r="AN27" s="2" t="str">
        <f t="shared" si="61"/>
        <v>709.993849</v>
      </c>
      <c r="AO27" s="2" t="str">
        <f t="shared" si="91"/>
        <v>0.5</v>
      </c>
      <c r="AP27" s="2" t="str">
        <f t="shared" si="92"/>
        <v>17.19239642</v>
      </c>
      <c r="AQ27" s="2" t="str">
        <f t="shared" si="62"/>
        <v>8.780970811</v>
      </c>
      <c r="AR27" s="2" t="str">
        <f t="shared" si="63"/>
        <v>0.007723174366</v>
      </c>
      <c r="AS27" s="2" t="str">
        <f t="shared" si="64"/>
        <v>0.07675142868</v>
      </c>
      <c r="AT27" s="2" t="str">
        <f t="shared" si="93"/>
        <v>14.77032772</v>
      </c>
      <c r="AU27" s="2" t="str">
        <f t="shared" si="94"/>
        <v>2.258316419</v>
      </c>
      <c r="AV27" s="2" t="str">
        <f t="shared" si="65"/>
        <v>-0.138302705</v>
      </c>
      <c r="AW27" s="2" t="str">
        <f t="shared" si="66"/>
        <v>-0.001858728951</v>
      </c>
      <c r="AX27" s="1"/>
      <c r="AY27" s="1"/>
      <c r="AZ27" s="2" t="str">
        <f t="shared" ref="AZ27:BB27" si="118">AZ26</f>
        <v>0.2</v>
      </c>
      <c r="BA27" s="2" t="str">
        <f t="shared" si="118"/>
        <v>0.5</v>
      </c>
      <c r="BB27" s="2" t="str">
        <f t="shared" si="118"/>
        <v>1</v>
      </c>
      <c r="BC27" s="2" t="str">
        <f t="shared" si="68"/>
        <v>0.75</v>
      </c>
      <c r="BD27" s="2" t="str">
        <f t="shared" ref="BD27:BF27" si="119">BD26</f>
        <v>68</v>
      </c>
      <c r="BE27" s="30" t="str">
        <f t="shared" si="119"/>
        <v>43.0</v>
      </c>
      <c r="BF27" s="2" t="str">
        <f t="shared" si="119"/>
        <v>25</v>
      </c>
      <c r="BG27" s="2" t="str">
        <f t="shared" si="70"/>
        <v>59.16666667</v>
      </c>
      <c r="BH27" s="2" t="str">
        <f t="shared" si="71"/>
        <v>-124.75</v>
      </c>
      <c r="BI27" s="2" t="str">
        <f t="shared" si="72"/>
        <v>90.58333333</v>
      </c>
      <c r="BJ27" s="31" t="str">
        <f t="shared" si="73"/>
        <v>30.30208333</v>
      </c>
      <c r="BK27" s="2" t="str">
        <f t="shared" ref="BK27:BM27" si="120">BK26</f>
        <v>0.2</v>
      </c>
      <c r="BL27" s="2" t="str">
        <f t="shared" si="120"/>
        <v>0.5</v>
      </c>
      <c r="BM27" s="2" t="str">
        <f t="shared" si="120"/>
        <v>1</v>
      </c>
      <c r="BN27" s="2" t="str">
        <f t="shared" si="98"/>
        <v>0.75</v>
      </c>
      <c r="BO27" s="2" t="str">
        <f t="shared" ref="BO27:BQ27" si="121">BO26</f>
        <v>49</v>
      </c>
      <c r="BP27" s="30" t="str">
        <f t="shared" si="121"/>
        <v>46.0</v>
      </c>
      <c r="BQ27" s="2" t="str">
        <f t="shared" si="121"/>
        <v>34</v>
      </c>
      <c r="BR27" s="2" t="str">
        <f t="shared" si="76"/>
        <v>-17.5</v>
      </c>
      <c r="BS27" s="2" t="str">
        <f t="shared" si="77"/>
        <v>2.25</v>
      </c>
      <c r="BT27" s="2" t="str">
        <f t="shared" si="78"/>
        <v>49.25</v>
      </c>
      <c r="BU27" s="31" t="str">
        <f t="shared" si="79"/>
        <v>41.09375</v>
      </c>
      <c r="BV27" s="2" t="str">
        <f t="shared" ref="BV27:BX27" si="122">BV26</f>
        <v>0.2</v>
      </c>
      <c r="BW27" s="2" t="str">
        <f t="shared" si="122"/>
        <v>0.5</v>
      </c>
      <c r="BX27" s="2" t="str">
        <f t="shared" si="122"/>
        <v>1</v>
      </c>
      <c r="BY27" s="2" t="str">
        <f t="shared" si="101"/>
        <v>0.75</v>
      </c>
      <c r="BZ27" s="2" t="str">
        <f t="shared" ref="BZ27:CB27" si="123">BZ26</f>
        <v>0.19</v>
      </c>
      <c r="CA27" s="2" t="str">
        <f t="shared" si="123"/>
        <v>0.29</v>
      </c>
      <c r="CB27" s="2" t="str">
        <f t="shared" si="123"/>
        <v>0.33</v>
      </c>
      <c r="CC27" s="2" t="str">
        <f t="shared" si="82"/>
        <v>-0.3166666667</v>
      </c>
      <c r="CD27" s="2" t="str">
        <f t="shared" si="83"/>
        <v>0.555</v>
      </c>
      <c r="CE27" s="2" t="str">
        <f t="shared" si="84"/>
        <v>0.09166666667</v>
      </c>
      <c r="CF27" s="31" t="str">
        <f t="shared" si="85"/>
        <v>0.3297916667</v>
      </c>
      <c r="CG27" s="1"/>
    </row>
    <row r="28" ht="12.75" customHeight="1">
      <c r="A28" s="27" t="str">
        <f t="shared" si="31"/>
        <v>  </v>
      </c>
      <c r="B28" s="27" t="str">
        <f t="shared" si="32"/>
        <v>  </v>
      </c>
      <c r="D28" s="2" t="str">
        <f t="shared" si="33"/>
        <v>0.7</v>
      </c>
      <c r="E28" s="28" t="str">
        <f t="shared" si="34"/>
        <v>32.3</v>
      </c>
      <c r="F28" s="28" t="str">
        <f t="shared" si="35"/>
        <v>42.3</v>
      </c>
      <c r="G28" s="27" t="str">
        <f t="shared" si="36"/>
        <v>  </v>
      </c>
      <c r="H28" s="2" t="str">
        <f t="shared" si="37"/>
        <v>0.07153108427</v>
      </c>
      <c r="I28" s="2" t="str">
        <f t="shared" si="38"/>
        <v>0.07177294925</v>
      </c>
      <c r="J28" s="2" t="str">
        <f t="shared" si="39"/>
        <v>0.9966301375</v>
      </c>
      <c r="K28" s="2" t="str">
        <f t="shared" si="40"/>
        <v>0.4985541283</v>
      </c>
      <c r="L28" s="1"/>
      <c r="M28" s="2" t="str">
        <f t="shared" si="41"/>
        <v>2.326846138</v>
      </c>
      <c r="N28" s="2" t="str">
        <f t="shared" si="42"/>
        <v>0.4141516587</v>
      </c>
      <c r="O28" s="1"/>
      <c r="P28" s="29" t="str">
        <f t="shared" si="43"/>
        <v>10.2479629</v>
      </c>
      <c r="Q28" s="2" t="str">
        <f>'Текущий профиль'!S31</f>
        <v>30.08165682</v>
      </c>
      <c r="R28" s="2" t="str">
        <f t="shared" si="44"/>
        <v>144372.9701</v>
      </c>
      <c r="S28" s="2" t="str">
        <f t="shared" si="45"/>
        <v>0.1185560076</v>
      </c>
      <c r="T28" s="2" t="str">
        <f t="shared" si="46"/>
        <v>-0.00165013346</v>
      </c>
      <c r="U28" s="2" t="str">
        <f t="shared" si="86"/>
        <v>0.16</v>
      </c>
      <c r="V28" s="2" t="str">
        <f t="shared" si="47"/>
        <v>0.156</v>
      </c>
      <c r="W28" s="2" t="str">
        <f t="shared" si="48"/>
        <v>0.0726375</v>
      </c>
      <c r="X28" s="2" t="str">
        <f t="shared" si="49"/>
        <v>0.07004109096</v>
      </c>
      <c r="Y28" s="2" t="str">
        <f t="shared" si="50"/>
        <v>0.1185560076</v>
      </c>
      <c r="Z28" s="2" t="str">
        <f t="shared" si="51"/>
        <v>0.93125</v>
      </c>
      <c r="AA28" s="2" t="str">
        <f t="shared" si="52"/>
        <v>27.85502306</v>
      </c>
      <c r="AB28" s="2" t="str">
        <f t="shared" si="53"/>
        <v>0.4470692767</v>
      </c>
      <c r="AC28" s="30" t="str">
        <f t="shared" si="54"/>
        <v>-42.3</v>
      </c>
      <c r="AD28" s="2" t="str">
        <f t="shared" si="55"/>
        <v>-2.404310498</v>
      </c>
      <c r="AE28" s="2" t="str">
        <f t="shared" ref="AE28:AF28" si="124">AE27</f>
        <v>1</v>
      </c>
      <c r="AF28" s="2" t="str">
        <f t="shared" si="124"/>
        <v>0.08</v>
      </c>
      <c r="AG28" s="2" t="str">
        <f t="shared" si="57"/>
        <v>0.0002599316147</v>
      </c>
      <c r="AH28" s="2" t="str">
        <f t="shared" si="88"/>
        <v>2.15</v>
      </c>
      <c r="AI28" s="2" t="str">
        <f t="shared" si="58"/>
        <v>1096.77314</v>
      </c>
      <c r="AJ28" s="2" t="str">
        <f t="shared" si="59"/>
        <v>0.01460852412</v>
      </c>
      <c r="AK28" s="2" t="str">
        <f t="shared" si="89"/>
        <v>42</v>
      </c>
      <c r="AL28" s="2" t="str">
        <f t="shared" si="60"/>
        <v>17.39436966</v>
      </c>
      <c r="AM28" s="2" t="str">
        <f t="shared" si="90"/>
        <v>128.6983207</v>
      </c>
      <c r="AN28" s="2" t="str">
        <f t="shared" si="61"/>
        <v>643.1252564</v>
      </c>
      <c r="AO28" s="2" t="str">
        <f t="shared" si="91"/>
        <v>0.5</v>
      </c>
      <c r="AP28" s="2" t="str">
        <f t="shared" si="92"/>
        <v>19.51924256</v>
      </c>
      <c r="AQ28" s="2" t="str">
        <f t="shared" si="62"/>
        <v>8.624387515</v>
      </c>
      <c r="AR28" s="2" t="str">
        <f t="shared" si="63"/>
        <v>0.007583332269</v>
      </c>
      <c r="AS28" s="2" t="str">
        <f t="shared" si="64"/>
        <v>0.06902825432</v>
      </c>
      <c r="AT28" s="2" t="str">
        <f t="shared" si="93"/>
        <v>16.34094887</v>
      </c>
      <c r="AU28" s="2" t="str">
        <f t="shared" si="94"/>
        <v>2.537868788</v>
      </c>
      <c r="AV28" s="2" t="str">
        <f t="shared" si="65"/>
        <v>-0.1265775617</v>
      </c>
      <c r="AW28" s="2" t="str">
        <f t="shared" si="66"/>
        <v>-0.00165013346</v>
      </c>
      <c r="AX28" s="1"/>
      <c r="AY28" s="1"/>
      <c r="AZ28" s="2" t="str">
        <f t="shared" ref="AZ28:BB28" si="125">AZ27</f>
        <v>0.2</v>
      </c>
      <c r="BA28" s="2" t="str">
        <f t="shared" si="125"/>
        <v>0.5</v>
      </c>
      <c r="BB28" s="2" t="str">
        <f t="shared" si="125"/>
        <v>1</v>
      </c>
      <c r="BC28" s="2" t="str">
        <f t="shared" si="68"/>
        <v>0.7</v>
      </c>
      <c r="BD28" s="2" t="str">
        <f t="shared" ref="BD28:BF28" si="126">BD27</f>
        <v>68</v>
      </c>
      <c r="BE28" s="30" t="str">
        <f t="shared" si="126"/>
        <v>43.0</v>
      </c>
      <c r="BF28" s="2" t="str">
        <f t="shared" si="126"/>
        <v>25</v>
      </c>
      <c r="BG28" s="2" t="str">
        <f t="shared" si="70"/>
        <v>59.16666667</v>
      </c>
      <c r="BH28" s="2" t="str">
        <f t="shared" si="71"/>
        <v>-124.75</v>
      </c>
      <c r="BI28" s="2" t="str">
        <f t="shared" si="72"/>
        <v>90.58333333</v>
      </c>
      <c r="BJ28" s="31" t="str">
        <f t="shared" si="73"/>
        <v>32.25</v>
      </c>
      <c r="BK28" s="2" t="str">
        <f t="shared" ref="BK28:BM28" si="127">BK27</f>
        <v>0.2</v>
      </c>
      <c r="BL28" s="2" t="str">
        <f t="shared" si="127"/>
        <v>0.5</v>
      </c>
      <c r="BM28" s="2" t="str">
        <f t="shared" si="127"/>
        <v>1</v>
      </c>
      <c r="BN28" s="2" t="str">
        <f t="shared" si="98"/>
        <v>0.7</v>
      </c>
      <c r="BO28" s="2" t="str">
        <f t="shared" ref="BO28:BQ28" si="128">BO27</f>
        <v>49</v>
      </c>
      <c r="BP28" s="30" t="str">
        <f t="shared" si="128"/>
        <v>46.0</v>
      </c>
      <c r="BQ28" s="2" t="str">
        <f t="shared" si="128"/>
        <v>34</v>
      </c>
      <c r="BR28" s="2" t="str">
        <f t="shared" si="76"/>
        <v>-17.5</v>
      </c>
      <c r="BS28" s="2" t="str">
        <f t="shared" si="77"/>
        <v>2.25</v>
      </c>
      <c r="BT28" s="2" t="str">
        <f t="shared" si="78"/>
        <v>49.25</v>
      </c>
      <c r="BU28" s="31" t="str">
        <f t="shared" si="79"/>
        <v>42.25</v>
      </c>
      <c r="BV28" s="2" t="str">
        <f t="shared" ref="BV28:BX28" si="129">BV27</f>
        <v>0.2</v>
      </c>
      <c r="BW28" s="2" t="str">
        <f t="shared" si="129"/>
        <v>0.5</v>
      </c>
      <c r="BX28" s="2" t="str">
        <f t="shared" si="129"/>
        <v>1</v>
      </c>
      <c r="BY28" s="2" t="str">
        <f t="shared" si="101"/>
        <v>0.7</v>
      </c>
      <c r="BZ28" s="2" t="str">
        <f t="shared" ref="BZ28:CB28" si="130">BZ27</f>
        <v>0.19</v>
      </c>
      <c r="CA28" s="2" t="str">
        <f t="shared" si="130"/>
        <v>0.29</v>
      </c>
      <c r="CB28" s="2" t="str">
        <f t="shared" si="130"/>
        <v>0.33</v>
      </c>
      <c r="CC28" s="2" t="str">
        <f t="shared" si="82"/>
        <v>-0.3166666667</v>
      </c>
      <c r="CD28" s="2" t="str">
        <f t="shared" si="83"/>
        <v>0.555</v>
      </c>
      <c r="CE28" s="2" t="str">
        <f t="shared" si="84"/>
        <v>0.09166666667</v>
      </c>
      <c r="CF28" s="31" t="str">
        <f t="shared" si="85"/>
        <v>0.325</v>
      </c>
      <c r="CG28" s="1"/>
    </row>
    <row r="29" ht="12.75" customHeight="1">
      <c r="A29" s="27" t="str">
        <f t="shared" si="31"/>
        <v>  </v>
      </c>
      <c r="B29" s="27" t="str">
        <f t="shared" si="32"/>
        <v>  </v>
      </c>
      <c r="D29" s="2" t="str">
        <f t="shared" si="33"/>
        <v>0.65</v>
      </c>
      <c r="E29" s="28" t="str">
        <f t="shared" si="34"/>
        <v>34.5</v>
      </c>
      <c r="F29" s="28" t="str">
        <f t="shared" si="35"/>
        <v>43.3</v>
      </c>
      <c r="G29" s="27" t="str">
        <f t="shared" si="36"/>
        <v>  </v>
      </c>
      <c r="H29" s="2" t="str">
        <f t="shared" si="37"/>
        <v>0.07455679013</v>
      </c>
      <c r="I29" s="2" t="str">
        <f t="shared" si="38"/>
        <v>0.07348025338</v>
      </c>
      <c r="J29" s="2" t="str">
        <f t="shared" si="39"/>
        <v>1.014650695</v>
      </c>
      <c r="K29" s="2" t="str">
        <f t="shared" si="40"/>
        <v>0.4935102979</v>
      </c>
      <c r="L29" s="1"/>
      <c r="M29" s="2" t="str">
        <f t="shared" si="41"/>
        <v>2.159375025</v>
      </c>
      <c r="N29" s="2" t="str">
        <f t="shared" si="42"/>
        <v>0.402655292</v>
      </c>
      <c r="O29" s="1"/>
      <c r="P29" s="29" t="str">
        <f t="shared" si="43"/>
        <v>10.5809717</v>
      </c>
      <c r="Q29" s="2" t="str">
        <f>'Текущий профиль'!S32</f>
        <v>28.30263395</v>
      </c>
      <c r="R29" s="2" t="str">
        <f t="shared" si="44"/>
        <v>139766.3665</v>
      </c>
      <c r="S29" s="2" t="str">
        <f t="shared" si="45"/>
        <v>0.1240364295</v>
      </c>
      <c r="T29" s="2" t="str">
        <f t="shared" si="46"/>
        <v>-0.001347621133</v>
      </c>
      <c r="U29" s="2" t="str">
        <f t="shared" si="86"/>
        <v>0.16</v>
      </c>
      <c r="V29" s="2" t="str">
        <f t="shared" si="47"/>
        <v>0.156</v>
      </c>
      <c r="W29" s="2" t="str">
        <f t="shared" si="48"/>
        <v>0.0758671875</v>
      </c>
      <c r="X29" s="2" t="str">
        <f t="shared" si="49"/>
        <v>0.07291173347</v>
      </c>
      <c r="Y29" s="2" t="str">
        <f t="shared" si="50"/>
        <v>0.1240364295</v>
      </c>
      <c r="Z29" s="2" t="str">
        <f t="shared" si="51"/>
        <v>0.97265625</v>
      </c>
      <c r="AA29" s="2" t="str">
        <f t="shared" si="52"/>
        <v>28.96095915</v>
      </c>
      <c r="AB29" s="2" t="str">
        <f t="shared" si="53"/>
        <v>0.4659799383</v>
      </c>
      <c r="AC29" s="30" t="str">
        <f t="shared" si="54"/>
        <v>-43.3</v>
      </c>
      <c r="AD29" s="2" t="str">
        <f t="shared" si="55"/>
        <v>-2.063810207</v>
      </c>
      <c r="AE29" s="2" t="str">
        <f t="shared" ref="AE29:AF29" si="131">AE28</f>
        <v>1</v>
      </c>
      <c r="AF29" s="2" t="str">
        <f t="shared" si="131"/>
        <v>0.08</v>
      </c>
      <c r="AG29" s="2" t="str">
        <f t="shared" si="57"/>
        <v>0.0002728503647</v>
      </c>
      <c r="AH29" s="2" t="str">
        <f t="shared" si="88"/>
        <v>2.15</v>
      </c>
      <c r="AI29" s="2" t="str">
        <f t="shared" si="58"/>
        <v>1096.77314</v>
      </c>
      <c r="AJ29" s="2" t="str">
        <f t="shared" si="59"/>
        <v>0.01533924922</v>
      </c>
      <c r="AK29" s="2" t="str">
        <f t="shared" si="89"/>
        <v>42</v>
      </c>
      <c r="AL29" s="2" t="str">
        <f t="shared" si="60"/>
        <v>16.91152227</v>
      </c>
      <c r="AM29" s="2" t="str">
        <f t="shared" si="90"/>
        <v>145.6098429</v>
      </c>
      <c r="AN29" s="2" t="str">
        <f t="shared" si="61"/>
        <v>573.5467243</v>
      </c>
      <c r="AO29" s="2" t="str">
        <f t="shared" si="91"/>
        <v>0.5</v>
      </c>
      <c r="AP29" s="2" t="str">
        <f t="shared" si="92"/>
        <v>21.67861759</v>
      </c>
      <c r="AQ29" s="2" t="str">
        <f t="shared" si="62"/>
        <v>8.468332179</v>
      </c>
      <c r="AR29" s="2" t="str">
        <f t="shared" si="63"/>
        <v>0.007444076976</v>
      </c>
      <c r="AS29" s="2" t="str">
        <f t="shared" si="64"/>
        <v>0.06144492205</v>
      </c>
      <c r="AT29" s="2" t="str">
        <f t="shared" si="93"/>
        <v>17.69055826</v>
      </c>
      <c r="AU29" s="2" t="str">
        <f t="shared" si="94"/>
        <v>2.789528346</v>
      </c>
      <c r="AV29" s="2" t="str">
        <f t="shared" si="65"/>
        <v>-0.1071116795</v>
      </c>
      <c r="AW29" s="2" t="str">
        <f t="shared" si="66"/>
        <v>-0.001347621133</v>
      </c>
      <c r="AX29" s="1"/>
      <c r="AY29" s="1"/>
      <c r="AZ29" s="2" t="str">
        <f t="shared" ref="AZ29:BB29" si="132">AZ28</f>
        <v>0.2</v>
      </c>
      <c r="BA29" s="2" t="str">
        <f t="shared" si="132"/>
        <v>0.5</v>
      </c>
      <c r="BB29" s="2" t="str">
        <f t="shared" si="132"/>
        <v>1</v>
      </c>
      <c r="BC29" s="2" t="str">
        <f t="shared" si="68"/>
        <v>0.65</v>
      </c>
      <c r="BD29" s="2" t="str">
        <f t="shared" ref="BD29:BF29" si="133">BD28</f>
        <v>68</v>
      </c>
      <c r="BE29" s="30" t="str">
        <f t="shared" si="133"/>
        <v>43.0</v>
      </c>
      <c r="BF29" s="2" t="str">
        <f t="shared" si="133"/>
        <v>25</v>
      </c>
      <c r="BG29" s="2" t="str">
        <f t="shared" si="70"/>
        <v>59.16666667</v>
      </c>
      <c r="BH29" s="2" t="str">
        <f t="shared" si="71"/>
        <v>-124.75</v>
      </c>
      <c r="BI29" s="2" t="str">
        <f t="shared" si="72"/>
        <v>90.58333333</v>
      </c>
      <c r="BJ29" s="31" t="str">
        <f t="shared" si="73"/>
        <v>34.49375</v>
      </c>
      <c r="BK29" s="2" t="str">
        <f t="shared" ref="BK29:BM29" si="134">BK28</f>
        <v>0.2</v>
      </c>
      <c r="BL29" s="2" t="str">
        <f t="shared" si="134"/>
        <v>0.5</v>
      </c>
      <c r="BM29" s="2" t="str">
        <f t="shared" si="134"/>
        <v>1</v>
      </c>
      <c r="BN29" s="2" t="str">
        <f t="shared" si="98"/>
        <v>0.65</v>
      </c>
      <c r="BO29" s="2" t="str">
        <f t="shared" ref="BO29:BQ29" si="135">BO28</f>
        <v>49</v>
      </c>
      <c r="BP29" s="30" t="str">
        <f t="shared" si="135"/>
        <v>46.0</v>
      </c>
      <c r="BQ29" s="2" t="str">
        <f t="shared" si="135"/>
        <v>34</v>
      </c>
      <c r="BR29" s="2" t="str">
        <f t="shared" si="76"/>
        <v>-17.5</v>
      </c>
      <c r="BS29" s="2" t="str">
        <f t="shared" si="77"/>
        <v>2.25</v>
      </c>
      <c r="BT29" s="2" t="str">
        <f t="shared" si="78"/>
        <v>49.25</v>
      </c>
      <c r="BU29" s="31" t="str">
        <f t="shared" si="79"/>
        <v>43.31875</v>
      </c>
      <c r="BV29" s="2" t="str">
        <f t="shared" ref="BV29:BX29" si="136">BV28</f>
        <v>0.2</v>
      </c>
      <c r="BW29" s="2" t="str">
        <f t="shared" si="136"/>
        <v>0.5</v>
      </c>
      <c r="BX29" s="2" t="str">
        <f t="shared" si="136"/>
        <v>1</v>
      </c>
      <c r="BY29" s="2" t="str">
        <f t="shared" si="101"/>
        <v>0.65</v>
      </c>
      <c r="BZ29" s="2" t="str">
        <f t="shared" ref="BZ29:CB29" si="137">BZ28</f>
        <v>0.19</v>
      </c>
      <c r="CA29" s="2" t="str">
        <f t="shared" si="137"/>
        <v>0.29</v>
      </c>
      <c r="CB29" s="2" t="str">
        <f t="shared" si="137"/>
        <v>0.33</v>
      </c>
      <c r="CC29" s="2" t="str">
        <f t="shared" si="82"/>
        <v>-0.3166666667</v>
      </c>
      <c r="CD29" s="2" t="str">
        <f t="shared" si="83"/>
        <v>0.555</v>
      </c>
      <c r="CE29" s="2" t="str">
        <f t="shared" si="84"/>
        <v>0.09166666667</v>
      </c>
      <c r="CF29" s="31" t="str">
        <f t="shared" si="85"/>
        <v>0.318625</v>
      </c>
      <c r="CG29" s="1"/>
    </row>
    <row r="30" ht="12.75" customHeight="1">
      <c r="A30" s="27" t="str">
        <f t="shared" si="31"/>
        <v>  </v>
      </c>
      <c r="B30" s="27" t="str">
        <f t="shared" si="32"/>
        <v>  </v>
      </c>
      <c r="D30" s="2" t="str">
        <f t="shared" si="33"/>
        <v>0.6</v>
      </c>
      <c r="E30" s="28" t="str">
        <f t="shared" si="34"/>
        <v>37.0</v>
      </c>
      <c r="F30" s="28" t="str">
        <f t="shared" si="35"/>
        <v>44.3</v>
      </c>
      <c r="G30" s="27" t="str">
        <f t="shared" si="36"/>
        <v>  </v>
      </c>
      <c r="H30" s="2" t="str">
        <f t="shared" si="37"/>
        <v>0.07772051405</v>
      </c>
      <c r="I30" s="2" t="str">
        <f t="shared" si="38"/>
        <v>0.07618258389</v>
      </c>
      <c r="J30" s="2" t="str">
        <f t="shared" si="39"/>
        <v>1.020187425</v>
      </c>
      <c r="K30" s="2" t="str">
        <f t="shared" si="40"/>
        <v>0.4871625735</v>
      </c>
      <c r="L30" s="1"/>
      <c r="M30" s="2" t="str">
        <f t="shared" si="41"/>
        <v>1.956227769</v>
      </c>
      <c r="N30" s="2" t="str">
        <f t="shared" si="42"/>
        <v>0.3891659172</v>
      </c>
      <c r="O30" s="1"/>
      <c r="P30" s="29" t="str">
        <f t="shared" si="43"/>
        <v>10.90349584</v>
      </c>
      <c r="Q30" s="2" t="str">
        <f>'Текущий профиль'!S33</f>
        <v>25.86182395</v>
      </c>
      <c r="R30" s="2" t="str">
        <f t="shared" si="44"/>
        <v>134527.6688</v>
      </c>
      <c r="S30" s="2" t="str">
        <f t="shared" si="45"/>
        <v>0.1298925026</v>
      </c>
      <c r="T30" s="2" t="str">
        <f t="shared" si="46"/>
        <v>-0.0009712739302</v>
      </c>
      <c r="U30" s="2" t="str">
        <f t="shared" si="86"/>
        <v>0.16</v>
      </c>
      <c r="V30" s="2" t="str">
        <f t="shared" si="47"/>
        <v>0.156</v>
      </c>
      <c r="W30" s="2" t="str">
        <f t="shared" si="48"/>
        <v>0.0793</v>
      </c>
      <c r="X30" s="2" t="str">
        <f t="shared" si="49"/>
        <v>0.07592863128</v>
      </c>
      <c r="Y30" s="2" t="str">
        <f t="shared" si="50"/>
        <v>0.1298925026</v>
      </c>
      <c r="Z30" s="2" t="str">
        <f t="shared" si="51"/>
        <v>1.016666667</v>
      </c>
      <c r="AA30" s="2" t="str">
        <f t="shared" si="52"/>
        <v>30.14500082</v>
      </c>
      <c r="AB30" s="2" t="str">
        <f t="shared" si="53"/>
        <v>0.4857532128</v>
      </c>
      <c r="AC30" s="30" t="str">
        <f t="shared" si="54"/>
        <v>-44.3</v>
      </c>
      <c r="AD30" s="2" t="str">
        <f t="shared" si="55"/>
        <v>-1.582537084</v>
      </c>
      <c r="AE30" s="2" t="str">
        <f t="shared" ref="AE30:AF30" si="138">AE29</f>
        <v>1</v>
      </c>
      <c r="AF30" s="2" t="str">
        <f t="shared" si="138"/>
        <v>0.08</v>
      </c>
      <c r="AG30" s="2" t="str">
        <f t="shared" si="57"/>
        <v>0.0002865816147</v>
      </c>
      <c r="AH30" s="2" t="str">
        <f t="shared" si="88"/>
        <v>2.15</v>
      </c>
      <c r="AI30" s="2" t="str">
        <f t="shared" si="58"/>
        <v>1096.77314</v>
      </c>
      <c r="AJ30" s="2" t="str">
        <f t="shared" si="59"/>
        <v>0.01611453073</v>
      </c>
      <c r="AK30" s="2" t="str">
        <f t="shared" si="89"/>
        <v>42</v>
      </c>
      <c r="AL30" s="2" t="str">
        <f t="shared" si="60"/>
        <v>16.34496852</v>
      </c>
      <c r="AM30" s="2" t="str">
        <f t="shared" si="90"/>
        <v>161.9548115</v>
      </c>
      <c r="AN30" s="2" t="str">
        <f t="shared" si="61"/>
        <v>499.5729833</v>
      </c>
      <c r="AO30" s="2" t="str">
        <f t="shared" si="91"/>
        <v>0.5</v>
      </c>
      <c r="AP30" s="2" t="str">
        <f t="shared" si="92"/>
        <v>23.63484536</v>
      </c>
      <c r="AQ30" s="2" t="str">
        <f t="shared" si="62"/>
        <v>8.303083122</v>
      </c>
      <c r="AR30" s="2" t="str">
        <f t="shared" si="63"/>
        <v>0.007296740721</v>
      </c>
      <c r="AS30" s="2" t="str">
        <f t="shared" si="64"/>
        <v>0.05400084507</v>
      </c>
      <c r="AT30" s="2" t="str">
        <f t="shared" si="93"/>
        <v>18.81538922</v>
      </c>
      <c r="AU30" s="2" t="str">
        <f t="shared" si="94"/>
        <v>3.013298748</v>
      </c>
      <c r="AV30" s="2" t="str">
        <f t="shared" si="65"/>
        <v>-0.08049602944</v>
      </c>
      <c r="AW30" s="2" t="str">
        <f t="shared" si="66"/>
        <v>-0.0009712739302</v>
      </c>
      <c r="AX30" s="1"/>
      <c r="AY30" s="1"/>
      <c r="AZ30" s="2" t="str">
        <f t="shared" ref="AZ30:BB30" si="139">AZ29</f>
        <v>0.2</v>
      </c>
      <c r="BA30" s="2" t="str">
        <f t="shared" si="139"/>
        <v>0.5</v>
      </c>
      <c r="BB30" s="2" t="str">
        <f t="shared" si="139"/>
        <v>1</v>
      </c>
      <c r="BC30" s="2" t="str">
        <f t="shared" si="68"/>
        <v>0.6</v>
      </c>
      <c r="BD30" s="2" t="str">
        <f t="shared" ref="BD30:BF30" si="140">BD29</f>
        <v>68</v>
      </c>
      <c r="BE30" s="30" t="str">
        <f t="shared" si="140"/>
        <v>43.0</v>
      </c>
      <c r="BF30" s="2" t="str">
        <f t="shared" si="140"/>
        <v>25</v>
      </c>
      <c r="BG30" s="2" t="str">
        <f t="shared" si="70"/>
        <v>59.16666667</v>
      </c>
      <c r="BH30" s="2" t="str">
        <f t="shared" si="71"/>
        <v>-124.75</v>
      </c>
      <c r="BI30" s="2" t="str">
        <f t="shared" si="72"/>
        <v>90.58333333</v>
      </c>
      <c r="BJ30" s="31" t="str">
        <f t="shared" si="73"/>
        <v>37.03333333</v>
      </c>
      <c r="BK30" s="2" t="str">
        <f t="shared" ref="BK30:BM30" si="141">BK29</f>
        <v>0.2</v>
      </c>
      <c r="BL30" s="2" t="str">
        <f t="shared" si="141"/>
        <v>0.5</v>
      </c>
      <c r="BM30" s="2" t="str">
        <f t="shared" si="141"/>
        <v>1</v>
      </c>
      <c r="BN30" s="2" t="str">
        <f t="shared" si="98"/>
        <v>0.6</v>
      </c>
      <c r="BO30" s="2" t="str">
        <f t="shared" ref="BO30:BQ30" si="142">BO29</f>
        <v>49</v>
      </c>
      <c r="BP30" s="30" t="str">
        <f t="shared" si="142"/>
        <v>46.0</v>
      </c>
      <c r="BQ30" s="2" t="str">
        <f t="shared" si="142"/>
        <v>34</v>
      </c>
      <c r="BR30" s="2" t="str">
        <f t="shared" si="76"/>
        <v>-17.5</v>
      </c>
      <c r="BS30" s="2" t="str">
        <f t="shared" si="77"/>
        <v>2.25</v>
      </c>
      <c r="BT30" s="2" t="str">
        <f t="shared" si="78"/>
        <v>49.25</v>
      </c>
      <c r="BU30" s="31" t="str">
        <f t="shared" si="79"/>
        <v>44.3</v>
      </c>
      <c r="BV30" s="2" t="str">
        <f t="shared" ref="BV30:BX30" si="143">BV29</f>
        <v>0.2</v>
      </c>
      <c r="BW30" s="2" t="str">
        <f t="shared" si="143"/>
        <v>0.5</v>
      </c>
      <c r="BX30" s="2" t="str">
        <f t="shared" si="143"/>
        <v>1</v>
      </c>
      <c r="BY30" s="2" t="str">
        <f t="shared" si="101"/>
        <v>0.6</v>
      </c>
      <c r="BZ30" s="2" t="str">
        <f t="shared" ref="BZ30:CB30" si="144">BZ29</f>
        <v>0.19</v>
      </c>
      <c r="CA30" s="2" t="str">
        <f t="shared" si="144"/>
        <v>0.29</v>
      </c>
      <c r="CB30" s="2" t="str">
        <f t="shared" si="144"/>
        <v>0.33</v>
      </c>
      <c r="CC30" s="2" t="str">
        <f t="shared" si="82"/>
        <v>-0.3166666667</v>
      </c>
      <c r="CD30" s="2" t="str">
        <f t="shared" si="83"/>
        <v>0.555</v>
      </c>
      <c r="CE30" s="2" t="str">
        <f t="shared" si="84"/>
        <v>0.09166666667</v>
      </c>
      <c r="CF30" s="31" t="str">
        <f t="shared" si="85"/>
        <v>0.3106666667</v>
      </c>
      <c r="CG30" s="1"/>
    </row>
    <row r="31" ht="12.75" customHeight="1">
      <c r="A31" s="27" t="str">
        <f t="shared" si="31"/>
        <v>  </v>
      </c>
      <c r="B31" s="27" t="str">
        <f t="shared" si="32"/>
        <v>  </v>
      </c>
      <c r="D31" s="2" t="str">
        <f t="shared" si="33"/>
        <v>0.55</v>
      </c>
      <c r="E31" s="28" t="str">
        <f t="shared" si="34"/>
        <v>39.9</v>
      </c>
      <c r="F31" s="28" t="str">
        <f t="shared" si="35"/>
        <v>45.2</v>
      </c>
      <c r="G31" s="27" t="str">
        <f t="shared" si="36"/>
        <v>  </v>
      </c>
      <c r="H31" s="2" t="str">
        <f t="shared" si="37"/>
        <v>0.08100710755</v>
      </c>
      <c r="I31" s="2" t="str">
        <f t="shared" si="38"/>
        <v>0.07940590873</v>
      </c>
      <c r="J31" s="2" t="str">
        <f t="shared" si="39"/>
        <v>1.020164731</v>
      </c>
      <c r="K31" s="2" t="str">
        <f t="shared" si="40"/>
        <v>0.4789956227</v>
      </c>
      <c r="L31" s="1"/>
      <c r="M31" s="2" t="str">
        <f t="shared" si="41"/>
        <v>1.73868057</v>
      </c>
      <c r="N31" s="2" t="str">
        <f t="shared" si="42"/>
        <v>0.3734028289</v>
      </c>
      <c r="O31" s="1"/>
      <c r="P31" s="29" t="str">
        <f t="shared" si="43"/>
        <v>11.24863784</v>
      </c>
      <c r="Q31" s="2" t="str">
        <f>'Текущий профиль'!S34</f>
        <v>22.88490197</v>
      </c>
      <c r="R31" s="2" t="str">
        <f t="shared" si="44"/>
        <v>128573.0727</v>
      </c>
      <c r="S31" s="2" t="str">
        <f t="shared" si="45"/>
        <v>0.136131739</v>
      </c>
      <c r="T31" s="2" t="str">
        <f t="shared" si="46"/>
        <v>-0.0005461491936</v>
      </c>
      <c r="U31" s="2" t="str">
        <f t="shared" si="86"/>
        <v>0.16</v>
      </c>
      <c r="V31" s="2" t="str">
        <f t="shared" si="47"/>
        <v>0.156</v>
      </c>
      <c r="W31" s="2" t="str">
        <f t="shared" si="48"/>
        <v>0.0829359375</v>
      </c>
      <c r="X31" s="2" t="str">
        <f t="shared" si="49"/>
        <v>0.07908391968</v>
      </c>
      <c r="Y31" s="2" t="str">
        <f t="shared" si="50"/>
        <v>0.136131739</v>
      </c>
      <c r="Z31" s="2" t="str">
        <f t="shared" si="51"/>
        <v>1.06328125</v>
      </c>
      <c r="AA31" s="2" t="str">
        <f t="shared" si="52"/>
        <v>31.40794391</v>
      </c>
      <c r="AB31" s="2" t="str">
        <f t="shared" si="53"/>
        <v>0.5062944222</v>
      </c>
      <c r="AC31" s="30" t="str">
        <f t="shared" si="54"/>
        <v>-45.2</v>
      </c>
      <c r="AD31" s="2" t="str">
        <f t="shared" si="55"/>
        <v>-0.9596952802</v>
      </c>
      <c r="AE31" s="2" t="str">
        <f t="shared" ref="AE31:AF31" si="145">AE30</f>
        <v>1</v>
      </c>
      <c r="AF31" s="2" t="str">
        <f t="shared" si="145"/>
        <v>0.08</v>
      </c>
      <c r="AG31" s="2" t="str">
        <f t="shared" si="57"/>
        <v>0.0003011253647</v>
      </c>
      <c r="AH31" s="2" t="str">
        <f t="shared" si="88"/>
        <v>2.15</v>
      </c>
      <c r="AI31" s="2" t="str">
        <f t="shared" si="58"/>
        <v>1096.77314</v>
      </c>
      <c r="AJ31" s="2" t="str">
        <f t="shared" si="59"/>
        <v>0.01693436866</v>
      </c>
      <c r="AK31" s="2" t="str">
        <f t="shared" si="89"/>
        <v>42</v>
      </c>
      <c r="AL31" s="2" t="str">
        <f t="shared" si="60"/>
        <v>15.68291881</v>
      </c>
      <c r="AM31" s="2" t="str">
        <f t="shared" si="90"/>
        <v>177.6377303</v>
      </c>
      <c r="AN31" s="2" t="str">
        <f t="shared" si="61"/>
        <v>427.3324449</v>
      </c>
      <c r="AO31" s="2" t="str">
        <f t="shared" si="91"/>
        <v>0.5</v>
      </c>
      <c r="AP31" s="2" t="str">
        <f t="shared" si="92"/>
        <v>25.37352593</v>
      </c>
      <c r="AQ31" s="2" t="str">
        <f t="shared" si="62"/>
        <v>8.129301314</v>
      </c>
      <c r="AR31" s="2" t="str">
        <f t="shared" si="63"/>
        <v>0.007141930345</v>
      </c>
      <c r="AS31" s="2" t="str">
        <f t="shared" si="64"/>
        <v>0.04670410435</v>
      </c>
      <c r="AT31" s="2" t="str">
        <f t="shared" si="93"/>
        <v>19.72819652</v>
      </c>
      <c r="AU31" s="2" t="str">
        <f t="shared" si="94"/>
        <v>3.209335233</v>
      </c>
      <c r="AV31" s="2" t="str">
        <f t="shared" si="65"/>
        <v>-0.04756254705</v>
      </c>
      <c r="AW31" s="2" t="str">
        <f t="shared" si="66"/>
        <v>-0.0005461491936</v>
      </c>
      <c r="AX31" s="1"/>
      <c r="AY31" s="1"/>
      <c r="AZ31" s="2" t="str">
        <f t="shared" ref="AZ31:BB31" si="146">AZ30</f>
        <v>0.2</v>
      </c>
      <c r="BA31" s="2" t="str">
        <f t="shared" si="146"/>
        <v>0.5</v>
      </c>
      <c r="BB31" s="2" t="str">
        <f t="shared" si="146"/>
        <v>1</v>
      </c>
      <c r="BC31" s="2" t="str">
        <f t="shared" si="68"/>
        <v>0.55</v>
      </c>
      <c r="BD31" s="2" t="str">
        <f t="shared" ref="BD31:BF31" si="147">BD30</f>
        <v>68</v>
      </c>
      <c r="BE31" s="30" t="str">
        <f t="shared" si="147"/>
        <v>43.0</v>
      </c>
      <c r="BF31" s="2" t="str">
        <f t="shared" si="147"/>
        <v>25</v>
      </c>
      <c r="BG31" s="2" t="str">
        <f t="shared" si="70"/>
        <v>59.16666667</v>
      </c>
      <c r="BH31" s="2" t="str">
        <f t="shared" si="71"/>
        <v>-124.75</v>
      </c>
      <c r="BI31" s="2" t="str">
        <f t="shared" si="72"/>
        <v>90.58333333</v>
      </c>
      <c r="BJ31" s="31" t="str">
        <f t="shared" si="73"/>
        <v>39.86875</v>
      </c>
      <c r="BK31" s="2" t="str">
        <f t="shared" ref="BK31:BM31" si="148">BK30</f>
        <v>0.2</v>
      </c>
      <c r="BL31" s="2" t="str">
        <f t="shared" si="148"/>
        <v>0.5</v>
      </c>
      <c r="BM31" s="2" t="str">
        <f t="shared" si="148"/>
        <v>1</v>
      </c>
      <c r="BN31" s="2" t="str">
        <f t="shared" si="98"/>
        <v>0.55</v>
      </c>
      <c r="BO31" s="2" t="str">
        <f t="shared" ref="BO31:BQ31" si="149">BO30</f>
        <v>49</v>
      </c>
      <c r="BP31" s="30" t="str">
        <f t="shared" si="149"/>
        <v>46.0</v>
      </c>
      <c r="BQ31" s="2" t="str">
        <f t="shared" si="149"/>
        <v>34</v>
      </c>
      <c r="BR31" s="2" t="str">
        <f t="shared" si="76"/>
        <v>-17.5</v>
      </c>
      <c r="BS31" s="2" t="str">
        <f t="shared" si="77"/>
        <v>2.25</v>
      </c>
      <c r="BT31" s="2" t="str">
        <f t="shared" si="78"/>
        <v>49.25</v>
      </c>
      <c r="BU31" s="31" t="str">
        <f t="shared" si="79"/>
        <v>45.19375</v>
      </c>
      <c r="BV31" s="2" t="str">
        <f t="shared" ref="BV31:BX31" si="150">BV30</f>
        <v>0.2</v>
      </c>
      <c r="BW31" s="2" t="str">
        <f t="shared" si="150"/>
        <v>0.5</v>
      </c>
      <c r="BX31" s="2" t="str">
        <f t="shared" si="150"/>
        <v>1</v>
      </c>
      <c r="BY31" s="2" t="str">
        <f t="shared" si="101"/>
        <v>0.55</v>
      </c>
      <c r="BZ31" s="2" t="str">
        <f t="shared" ref="BZ31:CB31" si="151">BZ30</f>
        <v>0.19</v>
      </c>
      <c r="CA31" s="2" t="str">
        <f t="shared" si="151"/>
        <v>0.29</v>
      </c>
      <c r="CB31" s="2" t="str">
        <f t="shared" si="151"/>
        <v>0.33</v>
      </c>
      <c r="CC31" s="2" t="str">
        <f t="shared" si="82"/>
        <v>-0.3166666667</v>
      </c>
      <c r="CD31" s="2" t="str">
        <f t="shared" si="83"/>
        <v>0.555</v>
      </c>
      <c r="CE31" s="2" t="str">
        <f t="shared" si="84"/>
        <v>0.09166666667</v>
      </c>
      <c r="CF31" s="31" t="str">
        <f t="shared" si="85"/>
        <v>0.301125</v>
      </c>
      <c r="CG31" s="1"/>
    </row>
    <row r="32" ht="12.75" customHeight="1">
      <c r="A32" s="27" t="str">
        <f t="shared" si="31"/>
        <v>  </v>
      </c>
      <c r="B32" s="27" t="str">
        <f t="shared" si="32"/>
        <v>  </v>
      </c>
      <c r="D32" s="2" t="str">
        <f t="shared" si="33"/>
        <v>0.5</v>
      </c>
      <c r="E32" s="28" t="str">
        <f t="shared" si="34"/>
        <v>43.0</v>
      </c>
      <c r="F32" s="28" t="str">
        <f t="shared" si="35"/>
        <v>46.0</v>
      </c>
      <c r="G32" s="27" t="str">
        <f t="shared" si="36"/>
        <v>  </v>
      </c>
      <c r="H32" s="2" t="str">
        <f t="shared" si="37"/>
        <v>0.08439990875</v>
      </c>
      <c r="I32" s="2" t="str">
        <f t="shared" si="38"/>
        <v>0.08233578584</v>
      </c>
      <c r="J32" s="2" t="str">
        <f t="shared" si="39"/>
        <v>1.025069572</v>
      </c>
      <c r="K32" s="2" t="str">
        <f t="shared" si="40"/>
        <v>0.4721166128</v>
      </c>
      <c r="L32" s="1"/>
      <c r="M32" s="2" t="str">
        <f t="shared" si="41"/>
        <v>1.528427306</v>
      </c>
      <c r="N32" s="2" t="str">
        <f t="shared" si="42"/>
        <v>0.3550853216</v>
      </c>
      <c r="O32" s="1"/>
      <c r="P32" s="29" t="str">
        <f t="shared" si="43"/>
        <v>11.66229685</v>
      </c>
      <c r="Q32" s="2" t="str">
        <f>'Текущий профиль'!S35</f>
        <v>20.7220999</v>
      </c>
      <c r="R32" s="2" t="str">
        <f t="shared" si="44"/>
        <v>121825.3118</v>
      </c>
      <c r="S32" s="2" t="str">
        <f t="shared" si="45"/>
        <v>0.1427626891</v>
      </c>
      <c r="T32" s="2" t="str">
        <f t="shared" si="46"/>
        <v>-0.0001011817234</v>
      </c>
      <c r="U32" s="2" t="str">
        <f t="shared" si="86"/>
        <v>0.16</v>
      </c>
      <c r="V32" s="2" t="str">
        <f t="shared" si="47"/>
        <v>0.156</v>
      </c>
      <c r="W32" s="2" t="str">
        <f t="shared" si="48"/>
        <v>0.086775</v>
      </c>
      <c r="X32" s="2" t="str">
        <f t="shared" si="49"/>
        <v>0.08236882115</v>
      </c>
      <c r="Y32" s="2" t="str">
        <f t="shared" si="50"/>
        <v>0.1427626891</v>
      </c>
      <c r="Z32" s="2" t="str">
        <f t="shared" si="51"/>
        <v>1.1125</v>
      </c>
      <c r="AA32" s="2" t="str">
        <f t="shared" si="52"/>
        <v>32.75036621</v>
      </c>
      <c r="AB32" s="2" t="str">
        <f t="shared" si="53"/>
        <v>0.5274994297</v>
      </c>
      <c r="AC32" s="30" t="str">
        <f t="shared" si="54"/>
        <v>-46.0</v>
      </c>
      <c r="AD32" s="2" t="str">
        <f t="shared" si="55"/>
        <v>-0.1947070149</v>
      </c>
      <c r="AE32" s="2" t="str">
        <f t="shared" ref="AE32:AF32" si="152">AE31</f>
        <v>1</v>
      </c>
      <c r="AF32" s="2" t="str">
        <f t="shared" si="152"/>
        <v>0.08</v>
      </c>
      <c r="AG32" s="2" t="str">
        <f t="shared" si="57"/>
        <v>0.0003164816147</v>
      </c>
      <c r="AH32" s="2" t="str">
        <f t="shared" si="88"/>
        <v>2.15</v>
      </c>
      <c r="AI32" s="2" t="str">
        <f t="shared" si="58"/>
        <v>1096.77314</v>
      </c>
      <c r="AJ32" s="2" t="str">
        <f t="shared" si="59"/>
        <v>0.01779876299</v>
      </c>
      <c r="AK32" s="2" t="str">
        <f t="shared" si="89"/>
        <v>42</v>
      </c>
      <c r="AL32" s="2" t="str">
        <f t="shared" si="60"/>
        <v>14.91358351</v>
      </c>
      <c r="AM32" s="2" t="str">
        <f t="shared" si="90"/>
        <v>192.5513138</v>
      </c>
      <c r="AN32" s="2" t="str">
        <f t="shared" si="61"/>
        <v>362.0963637</v>
      </c>
      <c r="AO32" s="2" t="str">
        <f t="shared" si="91"/>
        <v>0.5</v>
      </c>
      <c r="AP32" s="2" t="str">
        <f t="shared" si="92"/>
        <v>26.90195323</v>
      </c>
      <c r="AQ32" s="2" t="str">
        <f t="shared" si="62"/>
        <v>7.953725753</v>
      </c>
      <c r="AR32" s="2" t="str">
        <f t="shared" si="63"/>
        <v>0.006985658187</v>
      </c>
      <c r="AS32" s="2" t="str">
        <f t="shared" si="64"/>
        <v>0.03956217401</v>
      </c>
      <c r="AT32" s="2" t="str">
        <f t="shared" si="93"/>
        <v>20.45419949</v>
      </c>
      <c r="AU32" s="2" t="str">
        <f t="shared" si="94"/>
        <v>3.378000761</v>
      </c>
      <c r="AV32" s="2" t="str">
        <f t="shared" si="65"/>
        <v>-0.009347655993</v>
      </c>
      <c r="AW32" s="2" t="str">
        <f t="shared" si="66"/>
        <v>-0.0001011817234</v>
      </c>
      <c r="AX32" s="1"/>
      <c r="AY32" s="1"/>
      <c r="AZ32" s="2" t="str">
        <f t="shared" ref="AZ32:BB32" si="153">AZ31</f>
        <v>0.2</v>
      </c>
      <c r="BA32" s="2" t="str">
        <f t="shared" si="153"/>
        <v>0.5</v>
      </c>
      <c r="BB32" s="2" t="str">
        <f t="shared" si="153"/>
        <v>1</v>
      </c>
      <c r="BC32" s="2" t="str">
        <f t="shared" si="68"/>
        <v>0.5</v>
      </c>
      <c r="BD32" s="2" t="str">
        <f t="shared" ref="BD32:BF32" si="154">BD31</f>
        <v>68</v>
      </c>
      <c r="BE32" s="30" t="str">
        <f t="shared" si="154"/>
        <v>43.0</v>
      </c>
      <c r="BF32" s="2" t="str">
        <f t="shared" si="154"/>
        <v>25</v>
      </c>
      <c r="BG32" s="2" t="str">
        <f t="shared" si="70"/>
        <v>59.16666667</v>
      </c>
      <c r="BH32" s="2" t="str">
        <f t="shared" si="71"/>
        <v>-124.75</v>
      </c>
      <c r="BI32" s="2" t="str">
        <f t="shared" si="72"/>
        <v>90.58333333</v>
      </c>
      <c r="BJ32" s="31" t="str">
        <f t="shared" si="73"/>
        <v>43</v>
      </c>
      <c r="BK32" s="2" t="str">
        <f t="shared" ref="BK32:BM32" si="155">BK31</f>
        <v>0.2</v>
      </c>
      <c r="BL32" s="2" t="str">
        <f t="shared" si="155"/>
        <v>0.5</v>
      </c>
      <c r="BM32" s="2" t="str">
        <f t="shared" si="155"/>
        <v>1</v>
      </c>
      <c r="BN32" s="2" t="str">
        <f t="shared" si="98"/>
        <v>0.5</v>
      </c>
      <c r="BO32" s="2" t="str">
        <f t="shared" ref="BO32:BQ32" si="156">BO31</f>
        <v>49</v>
      </c>
      <c r="BP32" s="30" t="str">
        <f t="shared" si="156"/>
        <v>46.0</v>
      </c>
      <c r="BQ32" s="2" t="str">
        <f t="shared" si="156"/>
        <v>34</v>
      </c>
      <c r="BR32" s="2" t="str">
        <f t="shared" si="76"/>
        <v>-17.5</v>
      </c>
      <c r="BS32" s="2" t="str">
        <f t="shared" si="77"/>
        <v>2.25</v>
      </c>
      <c r="BT32" s="2" t="str">
        <f t="shared" si="78"/>
        <v>49.25</v>
      </c>
      <c r="BU32" s="31" t="str">
        <f t="shared" si="79"/>
        <v>46</v>
      </c>
      <c r="BV32" s="2" t="str">
        <f t="shared" ref="BV32:BX32" si="157">BV31</f>
        <v>0.2</v>
      </c>
      <c r="BW32" s="2" t="str">
        <f t="shared" si="157"/>
        <v>0.5</v>
      </c>
      <c r="BX32" s="2" t="str">
        <f t="shared" si="157"/>
        <v>1</v>
      </c>
      <c r="BY32" s="2" t="str">
        <f t="shared" si="101"/>
        <v>0.5</v>
      </c>
      <c r="BZ32" s="2" t="str">
        <f t="shared" ref="BZ32:CB32" si="158">BZ31</f>
        <v>0.19</v>
      </c>
      <c r="CA32" s="2" t="str">
        <f t="shared" si="158"/>
        <v>0.29</v>
      </c>
      <c r="CB32" s="2" t="str">
        <f t="shared" si="158"/>
        <v>0.33</v>
      </c>
      <c r="CC32" s="2" t="str">
        <f t="shared" si="82"/>
        <v>-0.3166666667</v>
      </c>
      <c r="CD32" s="2" t="str">
        <f t="shared" si="83"/>
        <v>0.555</v>
      </c>
      <c r="CE32" s="2" t="str">
        <f t="shared" si="84"/>
        <v>0.09166666667</v>
      </c>
      <c r="CF32" s="31" t="str">
        <f t="shared" si="85"/>
        <v>0.29</v>
      </c>
      <c r="CG32" s="1"/>
    </row>
    <row r="33" ht="12.75" customHeight="1">
      <c r="A33" s="27" t="str">
        <f t="shared" si="31"/>
        <v>  </v>
      </c>
      <c r="B33" s="27" t="str">
        <f t="shared" si="32"/>
        <v>  </v>
      </c>
      <c r="D33" s="2" t="str">
        <f t="shared" si="33"/>
        <v>0.45</v>
      </c>
      <c r="E33" s="28" t="str">
        <f t="shared" si="34"/>
        <v>46.4</v>
      </c>
      <c r="F33" s="28" t="str">
        <f t="shared" si="35"/>
        <v>46.7</v>
      </c>
      <c r="G33" s="27" t="str">
        <f t="shared" si="36"/>
        <v>  </v>
      </c>
      <c r="H33" s="2" t="str">
        <f t="shared" si="37"/>
        <v>0.08788112943</v>
      </c>
      <c r="I33" s="2" t="str">
        <f t="shared" si="38"/>
        <v>0.08611290763</v>
      </c>
      <c r="J33" s="2" t="str">
        <f t="shared" si="39"/>
        <v>1.02053376</v>
      </c>
      <c r="K33" s="2" t="str">
        <f t="shared" si="40"/>
        <v>0.4703147166</v>
      </c>
      <c r="L33" s="1"/>
      <c r="M33" s="2" t="str">
        <f t="shared" si="41"/>
        <v>1.30562593</v>
      </c>
      <c r="N33" s="2" t="str">
        <f t="shared" si="42"/>
        <v>0.33393269</v>
      </c>
      <c r="O33" s="1"/>
      <c r="P33" s="29" t="str">
        <f t="shared" si="43"/>
        <v>12.20946957</v>
      </c>
      <c r="Q33" s="2" t="str">
        <f>'Текущий профиль'!S36</f>
        <v>18.86705562</v>
      </c>
      <c r="R33" s="2" t="str">
        <f t="shared" si="44"/>
        <v>114215.2829</v>
      </c>
      <c r="S33" s="2" t="str">
        <f t="shared" si="45"/>
        <v>0.1497950675</v>
      </c>
      <c r="T33" s="2" t="str">
        <f t="shared" si="46"/>
        <v>0.0003323519806</v>
      </c>
      <c r="U33" s="2" t="str">
        <f t="shared" si="86"/>
        <v>0.16</v>
      </c>
      <c r="V33" s="2" t="str">
        <f t="shared" si="47"/>
        <v>0.156</v>
      </c>
      <c r="W33" s="2" t="str">
        <f t="shared" si="48"/>
        <v>0.0908171875</v>
      </c>
      <c r="X33" s="2" t="str">
        <f t="shared" si="49"/>
        <v>0.08577357897</v>
      </c>
      <c r="Y33" s="2" t="str">
        <f t="shared" si="50"/>
        <v>0.1497950675</v>
      </c>
      <c r="Z33" s="2" t="str">
        <f t="shared" si="51"/>
        <v>1.164322917</v>
      </c>
      <c r="AA33" s="2" t="str">
        <f t="shared" si="52"/>
        <v>34.17256066</v>
      </c>
      <c r="AB33" s="2" t="str">
        <f t="shared" si="53"/>
        <v>0.549257059</v>
      </c>
      <c r="AC33" s="30" t="str">
        <f t="shared" si="54"/>
        <v>-46.7</v>
      </c>
      <c r="AD33" s="2" t="str">
        <f t="shared" si="55"/>
        <v>0.7127206711</v>
      </c>
      <c r="AE33" s="2" t="str">
        <f t="shared" ref="AE33:AF33" si="159">AE32</f>
        <v>1</v>
      </c>
      <c r="AF33" s="2" t="str">
        <f t="shared" si="159"/>
        <v>0.08</v>
      </c>
      <c r="AG33" s="2" t="str">
        <f t="shared" si="57"/>
        <v>0.0003326503647</v>
      </c>
      <c r="AH33" s="2" t="str">
        <f t="shared" si="88"/>
        <v>2.15</v>
      </c>
      <c r="AI33" s="2" t="str">
        <f t="shared" si="58"/>
        <v>1096.77314</v>
      </c>
      <c r="AJ33" s="2" t="str">
        <f t="shared" si="59"/>
        <v>0.01870771373</v>
      </c>
      <c r="AK33" s="2" t="str">
        <f t="shared" si="89"/>
        <v>42</v>
      </c>
      <c r="AL33" s="2" t="str">
        <f t="shared" si="60"/>
        <v>14.02517298</v>
      </c>
      <c r="AM33" s="2" t="str">
        <f t="shared" si="90"/>
        <v>206.5764868</v>
      </c>
      <c r="AN33" s="2" t="str">
        <f t="shared" si="61"/>
        <v>298.8169467</v>
      </c>
      <c r="AO33" s="2" t="str">
        <f t="shared" si="91"/>
        <v>0.5</v>
      </c>
      <c r="AP33" s="2" t="str">
        <f t="shared" si="92"/>
        <v>28.20757916</v>
      </c>
      <c r="AQ33" s="2" t="str">
        <f t="shared" si="62"/>
        <v>7.775758171</v>
      </c>
      <c r="AR33" s="2" t="str">
        <f t="shared" si="63"/>
        <v>0.006827393477</v>
      </c>
      <c r="AS33" s="2" t="str">
        <f t="shared" si="64"/>
        <v>0.03257651582</v>
      </c>
      <c r="AT33" s="2" t="str">
        <f t="shared" si="93"/>
        <v>21.00909051</v>
      </c>
      <c r="AU33" s="2" t="str">
        <f t="shared" si="94"/>
        <v>3.519922154</v>
      </c>
      <c r="AV33" s="2" t="str">
        <f t="shared" si="65"/>
        <v>0.03295717266</v>
      </c>
      <c r="AW33" s="2" t="str">
        <f t="shared" si="66"/>
        <v>0.0003323519806</v>
      </c>
      <c r="AX33" s="1"/>
      <c r="AY33" s="1"/>
      <c r="AZ33" s="2" t="str">
        <f t="shared" ref="AZ33:BB33" si="160">AZ32</f>
        <v>0.2</v>
      </c>
      <c r="BA33" s="2" t="str">
        <f t="shared" si="160"/>
        <v>0.5</v>
      </c>
      <c r="BB33" s="2" t="str">
        <f t="shared" si="160"/>
        <v>1</v>
      </c>
      <c r="BC33" s="2" t="str">
        <f t="shared" si="68"/>
        <v>0.45</v>
      </c>
      <c r="BD33" s="2" t="str">
        <f t="shared" ref="BD33:BF33" si="161">BD32</f>
        <v>68</v>
      </c>
      <c r="BE33" s="30" t="str">
        <f t="shared" si="161"/>
        <v>43.0</v>
      </c>
      <c r="BF33" s="2" t="str">
        <f t="shared" si="161"/>
        <v>25</v>
      </c>
      <c r="BG33" s="2" t="str">
        <f t="shared" si="70"/>
        <v>59.16666667</v>
      </c>
      <c r="BH33" s="2" t="str">
        <f t="shared" si="71"/>
        <v>-124.75</v>
      </c>
      <c r="BI33" s="2" t="str">
        <f t="shared" si="72"/>
        <v>90.58333333</v>
      </c>
      <c r="BJ33" s="31" t="str">
        <f t="shared" si="73"/>
        <v>46.42708333</v>
      </c>
      <c r="BK33" s="2" t="str">
        <f t="shared" ref="BK33:BM33" si="162">BK32</f>
        <v>0.2</v>
      </c>
      <c r="BL33" s="2" t="str">
        <f t="shared" si="162"/>
        <v>0.5</v>
      </c>
      <c r="BM33" s="2" t="str">
        <f t="shared" si="162"/>
        <v>1</v>
      </c>
      <c r="BN33" s="2" t="str">
        <f t="shared" si="98"/>
        <v>0.45</v>
      </c>
      <c r="BO33" s="2" t="str">
        <f t="shared" ref="BO33:BQ33" si="163">BO32</f>
        <v>49</v>
      </c>
      <c r="BP33" s="30" t="str">
        <f t="shared" si="163"/>
        <v>46.0</v>
      </c>
      <c r="BQ33" s="2" t="str">
        <f t="shared" si="163"/>
        <v>34</v>
      </c>
      <c r="BR33" s="2" t="str">
        <f t="shared" si="76"/>
        <v>-17.5</v>
      </c>
      <c r="BS33" s="2" t="str">
        <f t="shared" si="77"/>
        <v>2.25</v>
      </c>
      <c r="BT33" s="2" t="str">
        <f t="shared" si="78"/>
        <v>49.25</v>
      </c>
      <c r="BU33" s="31" t="str">
        <f t="shared" si="79"/>
        <v>46.71875</v>
      </c>
      <c r="BV33" s="2" t="str">
        <f t="shared" ref="BV33:BX33" si="164">BV32</f>
        <v>0.2</v>
      </c>
      <c r="BW33" s="2" t="str">
        <f t="shared" si="164"/>
        <v>0.5</v>
      </c>
      <c r="BX33" s="2" t="str">
        <f t="shared" si="164"/>
        <v>1</v>
      </c>
      <c r="BY33" s="2" t="str">
        <f t="shared" si="101"/>
        <v>0.45</v>
      </c>
      <c r="BZ33" s="2" t="str">
        <f t="shared" ref="BZ33:CB33" si="165">BZ32</f>
        <v>0.19</v>
      </c>
      <c r="CA33" s="2" t="str">
        <f t="shared" si="165"/>
        <v>0.29</v>
      </c>
      <c r="CB33" s="2" t="str">
        <f t="shared" si="165"/>
        <v>0.33</v>
      </c>
      <c r="CC33" s="2" t="str">
        <f t="shared" si="82"/>
        <v>-0.3166666667</v>
      </c>
      <c r="CD33" s="2" t="str">
        <f t="shared" si="83"/>
        <v>0.555</v>
      </c>
      <c r="CE33" s="2" t="str">
        <f t="shared" si="84"/>
        <v>0.09166666667</v>
      </c>
      <c r="CF33" s="31" t="str">
        <f t="shared" si="85"/>
        <v>0.2772916667</v>
      </c>
      <c r="CG33" s="1"/>
    </row>
    <row r="34" ht="12.75" customHeight="1">
      <c r="A34" s="27" t="str">
        <f t="shared" si="31"/>
        <v>  </v>
      </c>
      <c r="B34" s="27" t="str">
        <f t="shared" si="32"/>
        <v>  </v>
      </c>
      <c r="D34" s="2" t="str">
        <f t="shared" si="33"/>
        <v>0.4</v>
      </c>
      <c r="E34" s="28" t="str">
        <f t="shared" si="34"/>
        <v>50.2</v>
      </c>
      <c r="F34" s="28" t="str">
        <f t="shared" si="35"/>
        <v>47.4</v>
      </c>
      <c r="G34" s="27" t="str">
        <f t="shared" si="36"/>
        <v>  </v>
      </c>
      <c r="H34" s="2" t="str">
        <f t="shared" si="37"/>
        <v>0.09143245712</v>
      </c>
      <c r="I34" s="2" t="str">
        <f t="shared" si="38"/>
        <v>0.09193695862</v>
      </c>
      <c r="J34" s="2" t="str">
        <f t="shared" si="39"/>
        <v>0.9945125278</v>
      </c>
      <c r="K34" s="2" t="str">
        <f t="shared" si="40"/>
        <v>0.4723738721</v>
      </c>
      <c r="L34" s="1"/>
      <c r="M34" s="2" t="str">
        <f t="shared" si="41"/>
        <v>1.065140616</v>
      </c>
      <c r="N34" s="2" t="str">
        <f t="shared" si="42"/>
        <v>0.3096642288</v>
      </c>
      <c r="O34" s="1"/>
      <c r="P34" s="29" t="str">
        <f t="shared" si="43"/>
        <v>12.98450331</v>
      </c>
      <c r="Q34" s="2" t="str">
        <f>'Текущий профиль'!S37</f>
        <v>17.10005986</v>
      </c>
      <c r="R34" s="2" t="str">
        <f t="shared" si="44"/>
        <v>105683.6102</v>
      </c>
      <c r="S34" s="2" t="str">
        <f t="shared" si="45"/>
        <v>0.1572398936</v>
      </c>
      <c r="T34" s="2" t="str">
        <f t="shared" si="46"/>
        <v>0.0007525298406</v>
      </c>
      <c r="U34" s="2" t="str">
        <f t="shared" si="86"/>
        <v>0.16</v>
      </c>
      <c r="V34" s="2" t="str">
        <f t="shared" si="47"/>
        <v>0.156</v>
      </c>
      <c r="W34" s="2" t="str">
        <f t="shared" si="48"/>
        <v>0.0950625</v>
      </c>
      <c r="X34" s="2" t="str">
        <f t="shared" si="49"/>
        <v>0.08928739064</v>
      </c>
      <c r="Y34" s="2" t="str">
        <f t="shared" si="50"/>
        <v>0.1572398936</v>
      </c>
      <c r="Z34" s="2" t="str">
        <f t="shared" si="51"/>
        <v>1.21875</v>
      </c>
      <c r="AA34" s="2" t="str">
        <f t="shared" si="52"/>
        <v>35.67445561</v>
      </c>
      <c r="AB34" s="2" t="str">
        <f t="shared" si="53"/>
        <v>0.571452857</v>
      </c>
      <c r="AC34" s="30" t="str">
        <f t="shared" si="54"/>
        <v>-47.4</v>
      </c>
      <c r="AD34" s="2" t="str">
        <f t="shared" si="55"/>
        <v>1.762516115</v>
      </c>
      <c r="AE34" s="2" t="str">
        <f t="shared" ref="AE34:AF34" si="166">AE33</f>
        <v>1</v>
      </c>
      <c r="AF34" s="2" t="str">
        <f t="shared" si="166"/>
        <v>0.08</v>
      </c>
      <c r="AG34" s="2" t="str">
        <f t="shared" si="57"/>
        <v>0.0003496316147</v>
      </c>
      <c r="AH34" s="2" t="str">
        <f t="shared" si="88"/>
        <v>2.15</v>
      </c>
      <c r="AI34" s="2" t="str">
        <f t="shared" si="58"/>
        <v>1096.77314</v>
      </c>
      <c r="AJ34" s="2" t="str">
        <f t="shared" si="59"/>
        <v>0.01966122088</v>
      </c>
      <c r="AK34" s="2" t="str">
        <f t="shared" si="89"/>
        <v>42</v>
      </c>
      <c r="AL34" s="2" t="str">
        <f t="shared" si="60"/>
        <v>13.00589761</v>
      </c>
      <c r="AM34" s="2" t="str">
        <f t="shared" si="90"/>
        <v>219.5823844</v>
      </c>
      <c r="AN34" s="2" t="str">
        <f t="shared" si="61"/>
        <v>236.2695667</v>
      </c>
      <c r="AO34" s="2" t="str">
        <f t="shared" si="91"/>
        <v>0.5</v>
      </c>
      <c r="AP34" s="2" t="str">
        <f t="shared" si="92"/>
        <v>29.27271978</v>
      </c>
      <c r="AQ34" s="2" t="str">
        <f t="shared" si="62"/>
        <v>7.593603024</v>
      </c>
      <c r="AR34" s="2" t="str">
        <f t="shared" si="63"/>
        <v>0.006665543746</v>
      </c>
      <c r="AS34" s="2" t="str">
        <f t="shared" si="64"/>
        <v>0.02574912234</v>
      </c>
      <c r="AT34" s="2" t="str">
        <f t="shared" si="93"/>
        <v>21.40851824</v>
      </c>
      <c r="AU34" s="2" t="str">
        <f t="shared" si="94"/>
        <v>3.63604624</v>
      </c>
      <c r="AV34" s="2" t="str">
        <f t="shared" si="65"/>
        <v>0.08128834903</v>
      </c>
      <c r="AW34" s="2" t="str">
        <f t="shared" si="66"/>
        <v>0.0007525298406</v>
      </c>
      <c r="AX34" s="1"/>
      <c r="AY34" s="1"/>
      <c r="AZ34" s="2" t="str">
        <f t="shared" ref="AZ34:BB34" si="167">AZ33</f>
        <v>0.2</v>
      </c>
      <c r="BA34" s="2" t="str">
        <f t="shared" si="167"/>
        <v>0.5</v>
      </c>
      <c r="BB34" s="2" t="str">
        <f t="shared" si="167"/>
        <v>1</v>
      </c>
      <c r="BC34" s="2" t="str">
        <f t="shared" si="68"/>
        <v>0.4</v>
      </c>
      <c r="BD34" s="2" t="str">
        <f t="shared" ref="BD34:BF34" si="168">BD33</f>
        <v>68</v>
      </c>
      <c r="BE34" s="30" t="str">
        <f t="shared" si="168"/>
        <v>43.0</v>
      </c>
      <c r="BF34" s="2" t="str">
        <f t="shared" si="168"/>
        <v>25</v>
      </c>
      <c r="BG34" s="2" t="str">
        <f t="shared" si="70"/>
        <v>59.16666667</v>
      </c>
      <c r="BH34" s="2" t="str">
        <f t="shared" si="71"/>
        <v>-124.75</v>
      </c>
      <c r="BI34" s="2" t="str">
        <f t="shared" si="72"/>
        <v>90.58333333</v>
      </c>
      <c r="BJ34" s="31" t="str">
        <f t="shared" si="73"/>
        <v>50.15</v>
      </c>
      <c r="BK34" s="2" t="str">
        <f t="shared" ref="BK34:BM34" si="169">BK33</f>
        <v>0.2</v>
      </c>
      <c r="BL34" s="2" t="str">
        <f t="shared" si="169"/>
        <v>0.5</v>
      </c>
      <c r="BM34" s="2" t="str">
        <f t="shared" si="169"/>
        <v>1</v>
      </c>
      <c r="BN34" s="2" t="str">
        <f t="shared" si="98"/>
        <v>0.4</v>
      </c>
      <c r="BO34" s="2" t="str">
        <f t="shared" ref="BO34:BQ34" si="170">BO33</f>
        <v>49</v>
      </c>
      <c r="BP34" s="30" t="str">
        <f t="shared" si="170"/>
        <v>46.0</v>
      </c>
      <c r="BQ34" s="2" t="str">
        <f t="shared" si="170"/>
        <v>34</v>
      </c>
      <c r="BR34" s="2" t="str">
        <f t="shared" si="76"/>
        <v>-17.5</v>
      </c>
      <c r="BS34" s="2" t="str">
        <f t="shared" si="77"/>
        <v>2.25</v>
      </c>
      <c r="BT34" s="2" t="str">
        <f t="shared" si="78"/>
        <v>49.25</v>
      </c>
      <c r="BU34" s="31" t="str">
        <f t="shared" si="79"/>
        <v>47.35</v>
      </c>
      <c r="BV34" s="2" t="str">
        <f t="shared" ref="BV34:BX34" si="171">BV33</f>
        <v>0.2</v>
      </c>
      <c r="BW34" s="2" t="str">
        <f t="shared" si="171"/>
        <v>0.5</v>
      </c>
      <c r="BX34" s="2" t="str">
        <f t="shared" si="171"/>
        <v>1</v>
      </c>
      <c r="BY34" s="2" t="str">
        <f t="shared" si="101"/>
        <v>0.4</v>
      </c>
      <c r="BZ34" s="2" t="str">
        <f t="shared" ref="BZ34:CB34" si="172">BZ33</f>
        <v>0.19</v>
      </c>
      <c r="CA34" s="2" t="str">
        <f t="shared" si="172"/>
        <v>0.29</v>
      </c>
      <c r="CB34" s="2" t="str">
        <f t="shared" si="172"/>
        <v>0.33</v>
      </c>
      <c r="CC34" s="2" t="str">
        <f t="shared" si="82"/>
        <v>-0.3166666667</v>
      </c>
      <c r="CD34" s="2" t="str">
        <f t="shared" si="83"/>
        <v>0.555</v>
      </c>
      <c r="CE34" s="2" t="str">
        <f t="shared" si="84"/>
        <v>0.09166666667</v>
      </c>
      <c r="CF34" s="31" t="str">
        <f t="shared" si="85"/>
        <v>0.263</v>
      </c>
      <c r="CG34" s="1"/>
    </row>
    <row r="35" ht="12.75" customHeight="1">
      <c r="A35" s="27" t="str">
        <f t="shared" si="31"/>
        <v>  </v>
      </c>
      <c r="B35" s="27" t="str">
        <f t="shared" si="32"/>
        <v>  </v>
      </c>
      <c r="D35" s="2" t="str">
        <f t="shared" si="33"/>
        <v>0.35</v>
      </c>
      <c r="E35" s="28" t="str">
        <f t="shared" si="34"/>
        <v>54.2</v>
      </c>
      <c r="F35" s="28" t="str">
        <f t="shared" si="35"/>
        <v>47.9</v>
      </c>
      <c r="G35" s="27" t="str">
        <f t="shared" si="36"/>
        <v>  </v>
      </c>
      <c r="H35" s="2" t="str">
        <f t="shared" si="37"/>
        <v>0.09503593723</v>
      </c>
      <c r="I35" s="2" t="str">
        <f t="shared" si="38"/>
        <v>0.1005439919</v>
      </c>
      <c r="J35" s="2" t="str">
        <f t="shared" si="39"/>
        <v>0.9452174656</v>
      </c>
      <c r="K35" s="2" t="str">
        <f t="shared" si="40"/>
        <v>0.4227721739</v>
      </c>
      <c r="L35" s="1"/>
      <c r="M35" s="2" t="str">
        <f t="shared" si="41"/>
        <v>0.8174337359</v>
      </c>
      <c r="N35" s="2" t="str">
        <f t="shared" si="42"/>
        <v>0.2819992325</v>
      </c>
      <c r="O35" s="1"/>
      <c r="P35" s="29" t="str">
        <f t="shared" si="43"/>
        <v>14.12833628</v>
      </c>
      <c r="Q35" s="2" t="str">
        <f>'Текущий профиль'!S38</f>
        <v>12.90600782</v>
      </c>
      <c r="R35" s="2" t="str">
        <f t="shared" si="44"/>
        <v>96182.02339</v>
      </c>
      <c r="S35" s="2" t="str">
        <f t="shared" si="45"/>
        <v>0.1651096508</v>
      </c>
      <c r="T35" s="2" t="str">
        <f t="shared" si="46"/>
        <v>0.00109309234</v>
      </c>
      <c r="U35" s="2" t="str">
        <f t="shared" si="86"/>
        <v>0.16</v>
      </c>
      <c r="V35" s="2" t="str">
        <f t="shared" si="47"/>
        <v>0.156</v>
      </c>
      <c r="W35" s="2" t="str">
        <f t="shared" si="48"/>
        <v>0.0995109375</v>
      </c>
      <c r="X35" s="2" t="str">
        <f t="shared" si="49"/>
        <v>0.09289834215</v>
      </c>
      <c r="Y35" s="2" t="str">
        <f t="shared" si="50"/>
        <v>0.1651096508</v>
      </c>
      <c r="Z35" s="2" t="str">
        <f t="shared" si="51"/>
        <v>1.27578125</v>
      </c>
      <c r="AA35" s="2" t="str">
        <f t="shared" si="52"/>
        <v>37.25551873</v>
      </c>
      <c r="AB35" s="2" t="str">
        <f t="shared" si="53"/>
        <v>0.5939746077</v>
      </c>
      <c r="AC35" s="30" t="str">
        <f t="shared" si="54"/>
        <v>-47.9</v>
      </c>
      <c r="AD35" s="2" t="str">
        <f t="shared" si="55"/>
        <v>2.954146977</v>
      </c>
      <c r="AE35" s="2" t="str">
        <f t="shared" ref="AE35:AF35" si="173">AE34</f>
        <v>1</v>
      </c>
      <c r="AF35" s="2" t="str">
        <f t="shared" si="173"/>
        <v>0.08</v>
      </c>
      <c r="AG35" s="2" t="str">
        <f t="shared" si="57"/>
        <v>0.0003674253647</v>
      </c>
      <c r="AH35" s="2" t="str">
        <f t="shared" si="88"/>
        <v>2.15</v>
      </c>
      <c r="AI35" s="2" t="str">
        <f t="shared" si="58"/>
        <v>1096.77314</v>
      </c>
      <c r="AJ35" s="2" t="str">
        <f t="shared" si="59"/>
        <v>0.02065928443</v>
      </c>
      <c r="AK35" s="2" t="str">
        <f t="shared" si="89"/>
        <v>42</v>
      </c>
      <c r="AL35" s="2" t="str">
        <f t="shared" si="60"/>
        <v>11.84396777</v>
      </c>
      <c r="AM35" s="2" t="str">
        <f t="shared" si="90"/>
        <v>231.4263521</v>
      </c>
      <c r="AN35" s="2" t="str">
        <f t="shared" si="61"/>
        <v>176.5842891</v>
      </c>
      <c r="AO35" s="2" t="str">
        <f t="shared" si="91"/>
        <v>0.5</v>
      </c>
      <c r="AP35" s="2" t="str">
        <f t="shared" si="92"/>
        <v>30.09015351</v>
      </c>
      <c r="AQ35" s="2" t="str">
        <f t="shared" si="62"/>
        <v>7.40828164</v>
      </c>
      <c r="AR35" s="2" t="str">
        <f t="shared" si="63"/>
        <v>0.006501021434</v>
      </c>
      <c r="AS35" s="2" t="str">
        <f t="shared" si="64"/>
        <v>0.0190835786</v>
      </c>
      <c r="AT35" s="2" t="str">
        <f t="shared" si="93"/>
        <v>21.67418421</v>
      </c>
      <c r="AU35" s="2" t="str">
        <f t="shared" si="94"/>
        <v>3.727695991</v>
      </c>
      <c r="AV35" s="2" t="str">
        <f t="shared" si="65"/>
        <v>0.1310756028</v>
      </c>
      <c r="AW35" s="2" t="str">
        <f t="shared" si="66"/>
        <v>0.00109309234</v>
      </c>
      <c r="AX35" s="1"/>
      <c r="AY35" s="1"/>
      <c r="AZ35" s="2" t="str">
        <f t="shared" ref="AZ35:BB35" si="174">AZ34</f>
        <v>0.2</v>
      </c>
      <c r="BA35" s="2" t="str">
        <f t="shared" si="174"/>
        <v>0.5</v>
      </c>
      <c r="BB35" s="2" t="str">
        <f t="shared" si="174"/>
        <v>1</v>
      </c>
      <c r="BC35" s="2" t="str">
        <f t="shared" si="68"/>
        <v>0.35</v>
      </c>
      <c r="BD35" s="2" t="str">
        <f t="shared" ref="BD35:BF35" si="175">BD34</f>
        <v>68</v>
      </c>
      <c r="BE35" s="30" t="str">
        <f t="shared" si="175"/>
        <v>43.0</v>
      </c>
      <c r="BF35" s="2" t="str">
        <f t="shared" si="175"/>
        <v>25</v>
      </c>
      <c r="BG35" s="2" t="str">
        <f t="shared" si="70"/>
        <v>59.16666667</v>
      </c>
      <c r="BH35" s="2" t="str">
        <f t="shared" si="71"/>
        <v>-124.75</v>
      </c>
      <c r="BI35" s="2" t="str">
        <f t="shared" si="72"/>
        <v>90.58333333</v>
      </c>
      <c r="BJ35" s="31" t="str">
        <f t="shared" si="73"/>
        <v>54.16875</v>
      </c>
      <c r="BK35" s="2" t="str">
        <f t="shared" ref="BK35:BM35" si="176">BK34</f>
        <v>0.2</v>
      </c>
      <c r="BL35" s="2" t="str">
        <f t="shared" si="176"/>
        <v>0.5</v>
      </c>
      <c r="BM35" s="2" t="str">
        <f t="shared" si="176"/>
        <v>1</v>
      </c>
      <c r="BN35" s="2" t="str">
        <f t="shared" si="98"/>
        <v>0.35</v>
      </c>
      <c r="BO35" s="2" t="str">
        <f t="shared" ref="BO35:BQ35" si="177">BO34</f>
        <v>49</v>
      </c>
      <c r="BP35" s="30" t="str">
        <f t="shared" si="177"/>
        <v>46.0</v>
      </c>
      <c r="BQ35" s="2" t="str">
        <f t="shared" si="177"/>
        <v>34</v>
      </c>
      <c r="BR35" s="2" t="str">
        <f t="shared" si="76"/>
        <v>-17.5</v>
      </c>
      <c r="BS35" s="2" t="str">
        <f t="shared" si="77"/>
        <v>2.25</v>
      </c>
      <c r="BT35" s="2" t="str">
        <f t="shared" si="78"/>
        <v>49.25</v>
      </c>
      <c r="BU35" s="31" t="str">
        <f t="shared" si="79"/>
        <v>47.89375</v>
      </c>
      <c r="BV35" s="2" t="str">
        <f t="shared" ref="BV35:BX35" si="178">BV34</f>
        <v>0.2</v>
      </c>
      <c r="BW35" s="2" t="str">
        <f t="shared" si="178"/>
        <v>0.5</v>
      </c>
      <c r="BX35" s="2" t="str">
        <f t="shared" si="178"/>
        <v>1</v>
      </c>
      <c r="BY35" s="2" t="str">
        <f t="shared" si="101"/>
        <v>0.35</v>
      </c>
      <c r="BZ35" s="2" t="str">
        <f t="shared" ref="BZ35:CB35" si="179">BZ34</f>
        <v>0.19</v>
      </c>
      <c r="CA35" s="2" t="str">
        <f t="shared" si="179"/>
        <v>0.29</v>
      </c>
      <c r="CB35" s="2" t="str">
        <f t="shared" si="179"/>
        <v>0.33</v>
      </c>
      <c r="CC35" s="2" t="str">
        <f t="shared" si="82"/>
        <v>-0.3166666667</v>
      </c>
      <c r="CD35" s="2" t="str">
        <f t="shared" si="83"/>
        <v>0.555</v>
      </c>
      <c r="CE35" s="2" t="str">
        <f t="shared" si="84"/>
        <v>0.09166666667</v>
      </c>
      <c r="CF35" s="31" t="str">
        <f t="shared" si="85"/>
        <v>0.247125</v>
      </c>
      <c r="CG35" s="1"/>
    </row>
    <row r="36" ht="12.75" customHeight="1">
      <c r="A36" s="27" t="str">
        <f t="shared" si="31"/>
        <v>  </v>
      </c>
      <c r="B36" s="27" t="str">
        <f t="shared" si="32"/>
        <v>  </v>
      </c>
      <c r="D36" s="2" t="str">
        <f t="shared" si="33"/>
        <v>0.3</v>
      </c>
      <c r="E36" s="28" t="str">
        <f t="shared" si="34"/>
        <v>58.5</v>
      </c>
      <c r="F36" s="28" t="str">
        <f t="shared" si="35"/>
        <v>48.4</v>
      </c>
      <c r="G36" s="27" t="str">
        <f t="shared" si="36"/>
        <v>  </v>
      </c>
      <c r="H36" s="2" t="str">
        <f t="shared" si="37"/>
        <v>0.09867522056</v>
      </c>
      <c r="I36" s="2" t="str">
        <f t="shared" si="38"/>
        <v>0.09872281107</v>
      </c>
      <c r="J36" s="2" t="str">
        <f t="shared" si="39"/>
        <v>0.9995179381</v>
      </c>
      <c r="K36" s="2" t="str">
        <f t="shared" si="40"/>
        <v>0.4545850359</v>
      </c>
      <c r="L36" s="1"/>
      <c r="M36" s="2" t="str">
        <f t="shared" si="41"/>
        <v>0.6716892318</v>
      </c>
      <c r="N36" s="2" t="str">
        <f t="shared" si="42"/>
        <v>0.2506569958</v>
      </c>
      <c r="O36" s="1"/>
      <c r="P36" s="29" t="str">
        <f t="shared" si="43"/>
        <v>15.85841006</v>
      </c>
      <c r="Q36" s="2" t="str">
        <f>'Текущий профиль'!S39</f>
        <v>13.09807049</v>
      </c>
      <c r="R36" s="2" t="str">
        <f t="shared" si="44"/>
        <v>85674.39578</v>
      </c>
      <c r="S36" s="2" t="str">
        <f t="shared" si="45"/>
        <v>0.1734184658</v>
      </c>
      <c r="T36" s="2" t="str">
        <f t="shared" si="46"/>
        <v>0.00133542858</v>
      </c>
      <c r="U36" s="2" t="str">
        <f t="shared" si="86"/>
        <v>0.16</v>
      </c>
      <c r="V36" s="2" t="str">
        <f t="shared" si="47"/>
        <v>0.156</v>
      </c>
      <c r="W36" s="2" t="str">
        <f t="shared" si="48"/>
        <v>0.1041625</v>
      </c>
      <c r="X36" s="2" t="str">
        <f t="shared" si="49"/>
        <v>0.0965933436</v>
      </c>
      <c r="Y36" s="2" t="str">
        <f t="shared" si="50"/>
        <v>0.1734184658</v>
      </c>
      <c r="Z36" s="2" t="str">
        <f t="shared" si="51"/>
        <v>1.335416667</v>
      </c>
      <c r="AA36" s="2" t="str">
        <f t="shared" si="52"/>
        <v>38.91464059</v>
      </c>
      <c r="AB36" s="2" t="str">
        <f t="shared" si="53"/>
        <v>0.6167201285</v>
      </c>
      <c r="AC36" s="30" t="str">
        <f t="shared" si="54"/>
        <v>-48.4</v>
      </c>
      <c r="AD36" s="2" t="str">
        <f t="shared" si="55"/>
        <v>4.286503845</v>
      </c>
      <c r="AE36" s="2" t="str">
        <f t="shared" ref="AE36:AF36" si="180">AE35</f>
        <v>1</v>
      </c>
      <c r="AF36" s="2" t="str">
        <f t="shared" si="180"/>
        <v>0.08</v>
      </c>
      <c r="AG36" s="2" t="str">
        <f t="shared" si="57"/>
        <v>0.0003860316147</v>
      </c>
      <c r="AH36" s="2" t="str">
        <f t="shared" si="88"/>
        <v>2.15</v>
      </c>
      <c r="AI36" s="2" t="str">
        <f t="shared" si="58"/>
        <v>1096.77314</v>
      </c>
      <c r="AJ36" s="2" t="str">
        <f t="shared" si="59"/>
        <v>0.0217019044</v>
      </c>
      <c r="AK36" s="2" t="str">
        <f t="shared" si="89"/>
        <v>42</v>
      </c>
      <c r="AL36" s="2" t="str">
        <f t="shared" si="60"/>
        <v>10.52759382</v>
      </c>
      <c r="AM36" s="2" t="str">
        <f t="shared" si="90"/>
        <v>241.953946</v>
      </c>
      <c r="AN36" s="2" t="str">
        <f t="shared" si="61"/>
        <v>142.3702322</v>
      </c>
      <c r="AO36" s="2" t="str">
        <f t="shared" si="91"/>
        <v>0.5</v>
      </c>
      <c r="AP36" s="2" t="str">
        <f t="shared" si="92"/>
        <v>30.76184275</v>
      </c>
      <c r="AQ36" s="2" t="str">
        <f t="shared" si="62"/>
        <v>7.245882296</v>
      </c>
      <c r="AR36" s="2" t="str">
        <f t="shared" si="63"/>
        <v>0.006356962401</v>
      </c>
      <c r="AS36" s="2" t="str">
        <f t="shared" si="64"/>
        <v>0.01258255716</v>
      </c>
      <c r="AT36" s="2" t="str">
        <f t="shared" si="93"/>
        <v>21.85889875</v>
      </c>
      <c r="AU36" s="2" t="str">
        <f t="shared" si="94"/>
        <v>3.796626665</v>
      </c>
      <c r="AV36" s="2" t="str">
        <f t="shared" si="65"/>
        <v>0.1822703815</v>
      </c>
      <c r="AW36" s="2" t="str">
        <f t="shared" si="66"/>
        <v>0.00133542858</v>
      </c>
      <c r="AX36" s="1"/>
      <c r="AY36" s="1"/>
      <c r="AZ36" s="2" t="str">
        <f t="shared" ref="AZ36:BB36" si="181">AZ35</f>
        <v>0.2</v>
      </c>
      <c r="BA36" s="2" t="str">
        <f t="shared" si="181"/>
        <v>0.5</v>
      </c>
      <c r="BB36" s="2" t="str">
        <f t="shared" si="181"/>
        <v>1</v>
      </c>
      <c r="BC36" s="2" t="str">
        <f t="shared" si="68"/>
        <v>0.3</v>
      </c>
      <c r="BD36" s="2" t="str">
        <f t="shared" ref="BD36:BF36" si="182">BD35</f>
        <v>68</v>
      </c>
      <c r="BE36" s="30" t="str">
        <f t="shared" si="182"/>
        <v>43.0</v>
      </c>
      <c r="BF36" s="2" t="str">
        <f t="shared" si="182"/>
        <v>25</v>
      </c>
      <c r="BG36" s="2" t="str">
        <f t="shared" si="70"/>
        <v>59.16666667</v>
      </c>
      <c r="BH36" s="2" t="str">
        <f t="shared" si="71"/>
        <v>-124.75</v>
      </c>
      <c r="BI36" s="2" t="str">
        <f t="shared" si="72"/>
        <v>90.58333333</v>
      </c>
      <c r="BJ36" s="31" t="str">
        <f t="shared" si="73"/>
        <v>58.48333333</v>
      </c>
      <c r="BK36" s="2" t="str">
        <f t="shared" ref="BK36:BM36" si="183">BK35</f>
        <v>0.2</v>
      </c>
      <c r="BL36" s="2" t="str">
        <f t="shared" si="183"/>
        <v>0.5</v>
      </c>
      <c r="BM36" s="2" t="str">
        <f t="shared" si="183"/>
        <v>1</v>
      </c>
      <c r="BN36" s="2" t="str">
        <f t="shared" si="98"/>
        <v>0.3</v>
      </c>
      <c r="BO36" s="2" t="str">
        <f t="shared" ref="BO36:BQ36" si="184">BO35</f>
        <v>49</v>
      </c>
      <c r="BP36" s="30" t="str">
        <f t="shared" si="184"/>
        <v>46.0</v>
      </c>
      <c r="BQ36" s="2" t="str">
        <f t="shared" si="184"/>
        <v>34</v>
      </c>
      <c r="BR36" s="2" t="str">
        <f t="shared" si="76"/>
        <v>-17.5</v>
      </c>
      <c r="BS36" s="2" t="str">
        <f t="shared" si="77"/>
        <v>2.25</v>
      </c>
      <c r="BT36" s="2" t="str">
        <f t="shared" si="78"/>
        <v>49.25</v>
      </c>
      <c r="BU36" s="31" t="str">
        <f t="shared" si="79"/>
        <v>48.35</v>
      </c>
      <c r="BV36" s="2" t="str">
        <f t="shared" ref="BV36:BX36" si="185">BV35</f>
        <v>0.2</v>
      </c>
      <c r="BW36" s="2" t="str">
        <f t="shared" si="185"/>
        <v>0.5</v>
      </c>
      <c r="BX36" s="2" t="str">
        <f t="shared" si="185"/>
        <v>1</v>
      </c>
      <c r="BY36" s="2" t="str">
        <f t="shared" si="101"/>
        <v>0.3</v>
      </c>
      <c r="BZ36" s="2" t="str">
        <f t="shared" ref="BZ36:CB36" si="186">BZ35</f>
        <v>0.19</v>
      </c>
      <c r="CA36" s="2" t="str">
        <f t="shared" si="186"/>
        <v>0.29</v>
      </c>
      <c r="CB36" s="2" t="str">
        <f t="shared" si="186"/>
        <v>0.33</v>
      </c>
      <c r="CC36" s="2" t="str">
        <f t="shared" si="82"/>
        <v>-0.3166666667</v>
      </c>
      <c r="CD36" s="2" t="str">
        <f t="shared" si="83"/>
        <v>0.555</v>
      </c>
      <c r="CE36" s="2" t="str">
        <f t="shared" si="84"/>
        <v>0.09166666667</v>
      </c>
      <c r="CF36" s="31" t="str">
        <f t="shared" si="85"/>
        <v>0.2296666667</v>
      </c>
      <c r="CG36" s="1"/>
    </row>
    <row r="37" ht="12.75" customHeight="1">
      <c r="A37" s="27" t="str">
        <f t="shared" si="31"/>
        <v>  </v>
      </c>
      <c r="B37" s="27" t="str">
        <f t="shared" si="32"/>
        <v>  </v>
      </c>
      <c r="D37" s="2" t="str">
        <f t="shared" si="33"/>
        <v>0.25</v>
      </c>
      <c r="E37" s="28" t="str">
        <f t="shared" si="34"/>
        <v>63.1</v>
      </c>
      <c r="F37" s="28" t="str">
        <f t="shared" si="35"/>
        <v>48.7</v>
      </c>
      <c r="G37" s="27" t="str">
        <f t="shared" si="36"/>
        <v>  </v>
      </c>
      <c r="H37" s="2" t="str">
        <f t="shared" si="37"/>
        <v>0.1023372887</v>
      </c>
      <c r="I37" s="2" t="str">
        <f t="shared" si="38"/>
        <v>0.1012979978</v>
      </c>
      <c r="J37" s="2" t="str">
        <f t="shared" si="39"/>
        <v>1.010259737</v>
      </c>
      <c r="K37" s="2" t="str">
        <f t="shared" si="40"/>
        <v>0.4306025717</v>
      </c>
      <c r="L37" s="1"/>
      <c r="M37" s="2" t="str">
        <f t="shared" si="41"/>
        <v>0.4905099835</v>
      </c>
      <c r="N37" s="2" t="str">
        <f t="shared" si="42"/>
        <v>0.2153568133</v>
      </c>
      <c r="O37" s="1"/>
      <c r="P37" s="29" t="str">
        <f t="shared" si="43"/>
        <v>18.5217332</v>
      </c>
      <c r="Q37" s="2" t="str">
        <f>'Текущий профиль'!S40</f>
        <v>10.42694173</v>
      </c>
      <c r="R37" s="2" t="str">
        <f t="shared" si="44"/>
        <v>74137.3012</v>
      </c>
      <c r="S37" s="2" t="str">
        <f t="shared" si="45"/>
        <v>0.1821823128</v>
      </c>
      <c r="T37" s="2" t="str">
        <f t="shared" si="46"/>
        <v>0.001453696772</v>
      </c>
      <c r="U37" s="2" t="str">
        <f t="shared" si="86"/>
        <v>0.16</v>
      </c>
      <c r="V37" s="2" t="str">
        <f t="shared" si="47"/>
        <v>0.156</v>
      </c>
      <c r="W37" s="2" t="str">
        <f t="shared" si="48"/>
        <v>0.1090171875</v>
      </c>
      <c r="X37" s="2" t="str">
        <f t="shared" si="49"/>
        <v>0.1003580675</v>
      </c>
      <c r="Y37" s="2" t="str">
        <f t="shared" si="50"/>
        <v>0.1821823128</v>
      </c>
      <c r="Z37" s="2" t="str">
        <f t="shared" si="51"/>
        <v>1.39765625</v>
      </c>
      <c r="AA37" s="2" t="str">
        <f t="shared" si="52"/>
        <v>40.64999277</v>
      </c>
      <c r="AB37" s="2" t="str">
        <f t="shared" si="53"/>
        <v>0.6396080544</v>
      </c>
      <c r="AC37" s="30" t="str">
        <f t="shared" si="54"/>
        <v>-48.7</v>
      </c>
      <c r="AD37" s="2" t="str">
        <f t="shared" si="55"/>
        <v>5.757758295</v>
      </c>
      <c r="AE37" s="2" t="str">
        <f t="shared" ref="AE37:AF37" si="187">AE36</f>
        <v>1</v>
      </c>
      <c r="AF37" s="2" t="str">
        <f t="shared" si="187"/>
        <v>0.08</v>
      </c>
      <c r="AG37" s="2" t="str">
        <f t="shared" si="57"/>
        <v>0.0004054503647</v>
      </c>
      <c r="AH37" s="2" t="str">
        <f t="shared" si="88"/>
        <v>2.15</v>
      </c>
      <c r="AI37" s="2" t="str">
        <f t="shared" si="58"/>
        <v>1096.77314</v>
      </c>
      <c r="AJ37" s="2" t="str">
        <f t="shared" si="59"/>
        <v>0.02278908078</v>
      </c>
      <c r="AK37" s="2" t="str">
        <f t="shared" si="89"/>
        <v>42</v>
      </c>
      <c r="AL37" s="2" t="str">
        <f t="shared" si="60"/>
        <v>9.04498616</v>
      </c>
      <c r="AM37" s="2" t="str">
        <f t="shared" si="90"/>
        <v>250.9989321</v>
      </c>
      <c r="AN37" s="2" t="str">
        <f t="shared" si="61"/>
        <v>103.3062936</v>
      </c>
      <c r="AO37" s="2" t="str">
        <f t="shared" si="91"/>
        <v>0.5</v>
      </c>
      <c r="AP37" s="2" t="str">
        <f t="shared" si="92"/>
        <v>31.25235273</v>
      </c>
      <c r="AQ37" s="2" t="str">
        <f t="shared" si="62"/>
        <v>7.097687932</v>
      </c>
      <c r="AR37" s="2" t="str">
        <f t="shared" si="63"/>
        <v>0.00622559476</v>
      </c>
      <c r="AS37" s="2" t="str">
        <f>AR37</f>
        <v>0.00622559476</v>
      </c>
      <c r="AT37" s="2" t="str">
        <f t="shared" si="93"/>
        <v>21.96926349</v>
      </c>
      <c r="AU37" s="2" t="str">
        <f t="shared" si="94"/>
        <v>3.845081948</v>
      </c>
      <c r="AV37" s="2" t="str">
        <f t="shared" si="65"/>
        <v>0.2338264505</v>
      </c>
      <c r="AW37" s="2" t="str">
        <f t="shared" si="66"/>
        <v>0.001453696772</v>
      </c>
      <c r="AX37" s="1"/>
      <c r="AY37" s="1"/>
      <c r="AZ37" s="2" t="str">
        <f t="shared" ref="AZ37:BB37" si="188">AZ36</f>
        <v>0.2</v>
      </c>
      <c r="BA37" s="2" t="str">
        <f t="shared" si="188"/>
        <v>0.5</v>
      </c>
      <c r="BB37" s="2" t="str">
        <f t="shared" si="188"/>
        <v>1</v>
      </c>
      <c r="BC37" s="2" t="str">
        <f t="shared" si="68"/>
        <v>0.25</v>
      </c>
      <c r="BD37" s="2" t="str">
        <f t="shared" ref="BD37:BF37" si="189">BD36</f>
        <v>68</v>
      </c>
      <c r="BE37" s="30" t="str">
        <f t="shared" si="189"/>
        <v>43.0</v>
      </c>
      <c r="BF37" s="2" t="str">
        <f t="shared" si="189"/>
        <v>25</v>
      </c>
      <c r="BG37" s="2" t="str">
        <f t="shared" si="70"/>
        <v>59.16666667</v>
      </c>
      <c r="BH37" s="2" t="str">
        <f t="shared" si="71"/>
        <v>-124.75</v>
      </c>
      <c r="BI37" s="2" t="str">
        <f t="shared" si="72"/>
        <v>90.58333333</v>
      </c>
      <c r="BJ37" s="31" t="str">
        <f t="shared" si="73"/>
        <v>63.09375</v>
      </c>
      <c r="BK37" s="2" t="str">
        <f t="shared" ref="BK37:BM37" si="190">BK36</f>
        <v>0.2</v>
      </c>
      <c r="BL37" s="2" t="str">
        <f t="shared" si="190"/>
        <v>0.5</v>
      </c>
      <c r="BM37" s="2" t="str">
        <f t="shared" si="190"/>
        <v>1</v>
      </c>
      <c r="BN37" s="2" t="str">
        <f t="shared" si="98"/>
        <v>0.25</v>
      </c>
      <c r="BO37" s="2" t="str">
        <f t="shared" ref="BO37:BQ37" si="191">BO36</f>
        <v>49</v>
      </c>
      <c r="BP37" s="30" t="str">
        <f t="shared" si="191"/>
        <v>46.0</v>
      </c>
      <c r="BQ37" s="2" t="str">
        <f t="shared" si="191"/>
        <v>34</v>
      </c>
      <c r="BR37" s="2" t="str">
        <f t="shared" si="76"/>
        <v>-17.5</v>
      </c>
      <c r="BS37" s="2" t="str">
        <f t="shared" si="77"/>
        <v>2.25</v>
      </c>
      <c r="BT37" s="2" t="str">
        <f t="shared" si="78"/>
        <v>49.25</v>
      </c>
      <c r="BU37" s="31" t="str">
        <f t="shared" si="79"/>
        <v>48.71875</v>
      </c>
      <c r="BV37" s="2" t="str">
        <f t="shared" ref="BV37:BX37" si="192">BV36</f>
        <v>0.2</v>
      </c>
      <c r="BW37" s="2" t="str">
        <f t="shared" si="192"/>
        <v>0.5</v>
      </c>
      <c r="BX37" s="2" t="str">
        <f t="shared" si="192"/>
        <v>1</v>
      </c>
      <c r="BY37" s="2" t="str">
        <f t="shared" si="101"/>
        <v>0.25</v>
      </c>
      <c r="BZ37" s="2" t="str">
        <f t="shared" ref="BZ37:CB37" si="193">BZ36</f>
        <v>0.19</v>
      </c>
      <c r="CA37" s="2" t="str">
        <f t="shared" si="193"/>
        <v>0.29</v>
      </c>
      <c r="CB37" s="2" t="str">
        <f t="shared" si="193"/>
        <v>0.33</v>
      </c>
      <c r="CC37" s="2" t="str">
        <f t="shared" si="82"/>
        <v>-0.3166666667</v>
      </c>
      <c r="CD37" s="2" t="str">
        <f t="shared" si="83"/>
        <v>0.555</v>
      </c>
      <c r="CE37" s="2" t="str">
        <f t="shared" si="84"/>
        <v>0.09166666667</v>
      </c>
      <c r="CF37" s="31" t="str">
        <f t="shared" si="85"/>
        <v>0.210625</v>
      </c>
      <c r="CG37" s="1"/>
    </row>
    <row r="38" ht="12.75" customHeight="1">
      <c r="A38" s="27" t="str">
        <f t="shared" si="31"/>
        <v>  </v>
      </c>
      <c r="B38" s="27" t="str">
        <f t="shared" si="32"/>
        <v>  </v>
      </c>
      <c r="D38" s="2" t="str">
        <f t="shared" si="33"/>
        <v>0.2</v>
      </c>
      <c r="E38" s="28" t="str">
        <f t="shared" si="34"/>
        <v>68.0</v>
      </c>
      <c r="F38" s="28" t="str">
        <f t="shared" si="35"/>
        <v>49.0</v>
      </c>
      <c r="G38" s="27" t="str">
        <f t="shared" si="36"/>
        <v>  </v>
      </c>
      <c r="H38" s="2" t="str">
        <f t="shared" si="37"/>
        <v>0.1060148067</v>
      </c>
      <c r="I38" s="2" t="str">
        <f t="shared" si="38"/>
        <v>0.1022895723</v>
      </c>
      <c r="J38" s="2" t="str">
        <f t="shared" si="39"/>
        <v>1.036418515</v>
      </c>
      <c r="K38" s="2" t="str">
        <f t="shared" si="40"/>
        <v>0.4086079777</v>
      </c>
      <c r="L38" s="1"/>
      <c r="M38" s="1"/>
      <c r="N38" s="1"/>
      <c r="O38" s="1"/>
      <c r="P38" s="29" t="str">
        <f t="shared" si="43"/>
        <v>22.68814529</v>
      </c>
      <c r="Q38" s="2" t="str">
        <f>'Текущий профиль'!S41</f>
        <v>8.901878033</v>
      </c>
      <c r="R38" s="2" t="str">
        <f t="shared" si="44"/>
        <v>61560.12526</v>
      </c>
      <c r="S38" s="2" t="str">
        <f t="shared" si="45"/>
        <v>0.1914192452</v>
      </c>
      <c r="T38" s="1"/>
      <c r="U38" s="2" t="str">
        <f t="shared" si="86"/>
        <v>0.16</v>
      </c>
      <c r="V38" s="2" t="str">
        <f t="shared" si="47"/>
        <v>0.156</v>
      </c>
      <c r="W38" s="2" t="str">
        <f t="shared" si="48"/>
        <v>0.114075</v>
      </c>
      <c r="X38" s="2" t="str">
        <f t="shared" si="49"/>
        <v>0.1041768908</v>
      </c>
      <c r="Y38" s="2" t="str">
        <f t="shared" si="50"/>
        <v>0.1914192452</v>
      </c>
      <c r="Z38" s="2" t="str">
        <f t="shared" si="51"/>
        <v>1.4625</v>
      </c>
      <c r="AA38" s="2" t="str">
        <f t="shared" si="52"/>
        <v>42.45885372</v>
      </c>
      <c r="AB38" s="2" t="str">
        <f t="shared" si="53"/>
        <v>0.6625925416</v>
      </c>
      <c r="AC38" s="30" t="str">
        <f t="shared" si="54"/>
        <v>-49.0</v>
      </c>
      <c r="AD38" s="2" t="str">
        <f t="shared" si="55"/>
        <v>7.365188772</v>
      </c>
      <c r="AE38" s="2" t="str">
        <f t="shared" ref="AE38:AF38" si="194">AE37</f>
        <v>1</v>
      </c>
      <c r="AF38" s="2" t="str">
        <f t="shared" si="194"/>
        <v>0.08</v>
      </c>
      <c r="AG38" s="2" t="str">
        <f t="shared" si="57"/>
        <v>0.0004256816147</v>
      </c>
      <c r="AH38" s="2" t="str">
        <f t="shared" si="88"/>
        <v>2.15</v>
      </c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2" t="str">
        <f>(SUM(AW22:AW37))</f>
        <v>-0.009942002203</v>
      </c>
      <c r="AX38" s="1"/>
      <c r="AY38" s="1"/>
      <c r="AZ38" s="2" t="str">
        <f t="shared" ref="AZ38:BB38" si="195">AZ37</f>
        <v>0.2</v>
      </c>
      <c r="BA38" s="2" t="str">
        <f t="shared" si="195"/>
        <v>0.5</v>
      </c>
      <c r="BB38" s="2" t="str">
        <f t="shared" si="195"/>
        <v>1</v>
      </c>
      <c r="BC38" s="2" t="str">
        <f t="shared" si="68"/>
        <v>0.2</v>
      </c>
      <c r="BD38" s="2" t="str">
        <f t="shared" ref="BD38:BF38" si="196">BD37</f>
        <v>68</v>
      </c>
      <c r="BE38" s="30" t="str">
        <f t="shared" si="196"/>
        <v>43.0</v>
      </c>
      <c r="BF38" s="2" t="str">
        <f t="shared" si="196"/>
        <v>25</v>
      </c>
      <c r="BG38" s="2" t="str">
        <f t="shared" si="70"/>
        <v>59.16666667</v>
      </c>
      <c r="BH38" s="2" t="str">
        <f t="shared" si="71"/>
        <v>-124.75</v>
      </c>
      <c r="BI38" s="2" t="str">
        <f t="shared" si="72"/>
        <v>90.58333333</v>
      </c>
      <c r="BJ38" s="31" t="str">
        <f t="shared" si="73"/>
        <v>68</v>
      </c>
      <c r="BK38" s="2" t="str">
        <f t="shared" ref="BK38:BM38" si="197">BK37</f>
        <v>0.2</v>
      </c>
      <c r="BL38" s="2" t="str">
        <f t="shared" si="197"/>
        <v>0.5</v>
      </c>
      <c r="BM38" s="2" t="str">
        <f t="shared" si="197"/>
        <v>1</v>
      </c>
      <c r="BN38" s="2" t="str">
        <f t="shared" si="98"/>
        <v>0.2</v>
      </c>
      <c r="BO38" s="2" t="str">
        <f t="shared" ref="BO38:BQ38" si="198">BO37</f>
        <v>49</v>
      </c>
      <c r="BP38" s="30" t="str">
        <f t="shared" si="198"/>
        <v>46.0</v>
      </c>
      <c r="BQ38" s="2" t="str">
        <f t="shared" si="198"/>
        <v>34</v>
      </c>
      <c r="BR38" s="2" t="str">
        <f t="shared" si="76"/>
        <v>-17.5</v>
      </c>
      <c r="BS38" s="2" t="str">
        <f t="shared" si="77"/>
        <v>2.25</v>
      </c>
      <c r="BT38" s="2" t="str">
        <f t="shared" si="78"/>
        <v>49.25</v>
      </c>
      <c r="BU38" s="31" t="str">
        <f t="shared" si="79"/>
        <v>49</v>
      </c>
      <c r="BV38" s="2" t="str">
        <f t="shared" ref="BV38:BX38" si="199">BV37</f>
        <v>0.2</v>
      </c>
      <c r="BW38" s="2" t="str">
        <f t="shared" si="199"/>
        <v>0.5</v>
      </c>
      <c r="BX38" s="2" t="str">
        <f t="shared" si="199"/>
        <v>1</v>
      </c>
      <c r="BY38" s="2" t="str">
        <f t="shared" si="101"/>
        <v>0.2</v>
      </c>
      <c r="BZ38" s="2" t="str">
        <f t="shared" ref="BZ38:CB38" si="200">BZ37</f>
        <v>0.19</v>
      </c>
      <c r="CA38" s="2" t="str">
        <f t="shared" si="200"/>
        <v>0.29</v>
      </c>
      <c r="CB38" s="2" t="str">
        <f t="shared" si="200"/>
        <v>0.33</v>
      </c>
      <c r="CC38" s="2" t="str">
        <f t="shared" si="82"/>
        <v>-0.3166666667</v>
      </c>
      <c r="CD38" s="2" t="str">
        <f t="shared" si="83"/>
        <v>0.555</v>
      </c>
      <c r="CE38" s="2" t="str">
        <f t="shared" si="84"/>
        <v>0.09166666667</v>
      </c>
      <c r="CF38" s="31" t="str">
        <f t="shared" si="85"/>
        <v>0.19</v>
      </c>
      <c r="CG38" s="1"/>
    </row>
    <row r="39" ht="12.75" customHeight="1">
      <c r="A39" s="27"/>
      <c r="B39" s="27"/>
      <c r="C39" s="32"/>
      <c r="D39" s="2" t="str">
        <f t="shared" ref="D39:D41" si="201">D38+D38-D37</f>
        <v>0.15</v>
      </c>
      <c r="E39" s="33">
        <v>69.0</v>
      </c>
      <c r="F39" s="33">
        <v>50.0</v>
      </c>
      <c r="G39" s="27"/>
      <c r="H39" s="1"/>
      <c r="I39" s="1"/>
      <c r="J39" s="1"/>
      <c r="K39" s="1"/>
      <c r="L39" s="1"/>
      <c r="M39" s="1"/>
      <c r="N39" s="1"/>
      <c r="O39" s="1"/>
      <c r="P39" s="8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30" t="str">
        <f t="shared" si="54"/>
        <v>-50.0</v>
      </c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</row>
    <row r="40" ht="12.75" customHeight="1">
      <c r="A40" s="27"/>
      <c r="B40" s="27"/>
      <c r="C40" s="32"/>
      <c r="D40" s="2" t="str">
        <f t="shared" si="201"/>
        <v>0.1</v>
      </c>
      <c r="E40" s="33">
        <v>69.0</v>
      </c>
      <c r="F40" s="33">
        <v>50.0</v>
      </c>
      <c r="G40" s="27"/>
      <c r="H40" s="1"/>
      <c r="I40" s="1"/>
      <c r="J40" s="1"/>
      <c r="K40" s="1"/>
      <c r="L40" s="1"/>
      <c r="M40" s="1"/>
      <c r="N40" s="1"/>
      <c r="O40" s="1"/>
      <c r="P40" s="8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30" t="str">
        <f t="shared" si="54"/>
        <v>-50.0</v>
      </c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</row>
    <row r="41" ht="12.75" customHeight="1">
      <c r="A41" s="27"/>
      <c r="B41" s="27"/>
      <c r="C41" s="32"/>
      <c r="D41" s="2" t="str">
        <f t="shared" si="201"/>
        <v>0.05</v>
      </c>
      <c r="E41" s="33">
        <v>69.0</v>
      </c>
      <c r="F41" s="33">
        <v>50.0</v>
      </c>
      <c r="G41" s="27"/>
      <c r="H41" s="1"/>
      <c r="I41" s="1"/>
      <c r="J41" s="1"/>
      <c r="K41" s="1"/>
      <c r="L41" s="1"/>
      <c r="M41" s="1"/>
      <c r="N41" s="1"/>
      <c r="O41" s="1"/>
      <c r="P41" s="8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30" t="str">
        <f t="shared" si="54"/>
        <v>-50.0</v>
      </c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</row>
    <row r="42" ht="12.75" customHeight="1">
      <c r="A42" s="27"/>
      <c r="B42" s="27"/>
      <c r="C42" s="32"/>
      <c r="D42" s="1">
        <v>0.0</v>
      </c>
      <c r="E42" s="33">
        <v>69.0</v>
      </c>
      <c r="F42" s="33">
        <v>50.0</v>
      </c>
      <c r="G42" s="27"/>
      <c r="H42" s="1"/>
      <c r="I42" s="1"/>
      <c r="J42" s="1"/>
      <c r="K42" s="1"/>
      <c r="L42" s="1"/>
      <c r="M42" s="1"/>
      <c r="N42" s="1"/>
      <c r="O42" s="1"/>
      <c r="P42" s="8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30" t="str">
        <f t="shared" si="54"/>
        <v>-50.0</v>
      </c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8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2" t="str">
        <f>SUM(AJ22:AJ37)</f>
        <v>0.2591157163</v>
      </c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</row>
    <row r="44" ht="38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8"/>
      <c r="Q44" s="9" t="s">
        <v>117</v>
      </c>
      <c r="R44" s="9"/>
      <c r="S44" s="9" t="s">
        <v>118</v>
      </c>
      <c r="T44" s="9"/>
      <c r="U44" s="9" t="s">
        <v>119</v>
      </c>
      <c r="V44" s="1" t="s">
        <v>0</v>
      </c>
      <c r="W44" s="1" t="s">
        <v>120</v>
      </c>
      <c r="X44" s="1" t="s">
        <v>121</v>
      </c>
      <c r="Y44" s="1" t="s">
        <v>122</v>
      </c>
      <c r="Z44" s="1" t="s">
        <v>123</v>
      </c>
      <c r="AA44" s="9" t="s">
        <v>124</v>
      </c>
      <c r="AB44" s="9" t="s">
        <v>125</v>
      </c>
      <c r="AC44" s="9" t="s">
        <v>126</v>
      </c>
      <c r="AD44" s="9" t="s">
        <v>127</v>
      </c>
      <c r="AE44" s="1" t="s">
        <v>128</v>
      </c>
      <c r="AF44" s="1" t="s">
        <v>129</v>
      </c>
      <c r="AG44" s="9" t="s">
        <v>57</v>
      </c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</row>
    <row r="45" ht="12.75" customHeight="1">
      <c r="A45" s="1"/>
      <c r="B45" s="1"/>
      <c r="C45" s="1"/>
      <c r="D45" s="1"/>
      <c r="E45" s="1"/>
      <c r="F45" s="2" t="str">
        <f>D22/D22</f>
        <v>1</v>
      </c>
      <c r="G45" s="1"/>
      <c r="H45" s="1"/>
      <c r="I45" s="1"/>
      <c r="J45" s="1"/>
      <c r="K45" s="1"/>
      <c r="L45" s="1"/>
      <c r="M45" s="1"/>
      <c r="N45" s="1"/>
      <c r="O45" s="1"/>
      <c r="P45" s="8"/>
      <c r="Q45" s="7" t="str">
        <f>K2</f>
        <v>1</v>
      </c>
      <c r="R45" s="7" t="str">
        <f t="shared" ref="R45:R61" si="202">Y2/X2*Q45</f>
        <v>1</v>
      </c>
      <c r="S45" s="2" t="str">
        <f t="shared" ref="S45:S61" si="203">R45/180*3.1415*0.5*U22*1000</f>
        <v>1.396222222</v>
      </c>
      <c r="U45" s="2" t="str">
        <f t="shared" ref="U45:U60" si="204">AJ22*0.5*0.5*(D22+D23)*(D22+D23)</f>
        <v>0.01060884008</v>
      </c>
      <c r="V45" s="2" t="str">
        <f>'Текущий профиль'!S4</f>
        <v>1.109950473</v>
      </c>
      <c r="W45" s="2" t="str">
        <f t="shared" ref="W45:W61" si="205">1-1/Q22*AB2/(1-AG2)</f>
        <v>0.8442407037</v>
      </c>
      <c r="X45" s="2" t="str">
        <f t="shared" ref="X45:X61" si="206">1-1/AB2/AB2*(2*AG2-2*AG2*AG2)*(2*AG2-2*AG2*AG2)/(1-AG2*AG2)</f>
        <v>0.9955216818</v>
      </c>
      <c r="Y45" s="2" t="str">
        <f t="shared" ref="Y45:Y61" si="207">W45*X45*(1-AG2)*(1-(1-2*AG2)*(1-2*AG2))</f>
        <v>0.4980128477</v>
      </c>
      <c r="Z45" s="2" t="str">
        <f t="shared" ref="Z45:Z61" si="208">3.1415926*Y2*2/AH2/AB2/((1-AG2)*(1-AG2)+AB2*AB2)/(V45-V45/Q22*(AB2/(1-AG2)))/SIN(ATAN((1-AG2)/AB2))*Y45</f>
        <v>0.0506255045</v>
      </c>
      <c r="AA45" s="1" t="str">
        <f t="shared" ref="AA45:AA61" si="209">ISERROR(Z45)</f>
        <v>FALSE</v>
      </c>
      <c r="AB45" s="2" t="str">
        <f t="shared" ref="AB45:AB61" si="210">1/(1+ABS(1-J22))</f>
        <v>0.998512229</v>
      </c>
      <c r="AC45" s="2" t="str">
        <f t="shared" ref="AC45:AC61" si="211">Y45*AB45*(Y2*Y2-Y3*Y3)</f>
        <v>0.04848401207</v>
      </c>
      <c r="AD45" s="2" t="str">
        <f>AC62/(Y2*Y2-Y18*Y18)</f>
        <v>0.4442846392</v>
      </c>
      <c r="AE45" s="2" t="str">
        <f>(G4-H9*G5*H22*V45)*(G4-H9*G5*H22*V45)/G4/G4</f>
        <v>0.8594301623</v>
      </c>
      <c r="AF45" s="2" t="str">
        <f>(Y2*Y2-Y18*Y18)/(Y2*Y2)</f>
        <v>0.96</v>
      </c>
      <c r="AG45" s="2" t="str">
        <f>AD45*AE45*AF45</f>
        <v>0.3665583548</v>
      </c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</row>
    <row r="46" ht="12.75" customHeight="1">
      <c r="A46" s="1"/>
      <c r="B46" s="1"/>
      <c r="C46" s="1"/>
      <c r="D46" s="1"/>
      <c r="E46" s="1"/>
      <c r="F46" s="2" t="str">
        <f>D30/D22</f>
        <v>0.6</v>
      </c>
      <c r="G46" s="1"/>
      <c r="H46" s="1"/>
      <c r="I46" s="1"/>
      <c r="J46" s="1"/>
      <c r="K46" s="1"/>
      <c r="L46" s="1"/>
      <c r="M46" s="1"/>
      <c r="N46" s="1"/>
      <c r="O46" s="1"/>
      <c r="P46" s="8"/>
      <c r="Q46" s="7" t="str">
        <f t="shared" ref="Q46:Q61" si="212">Q45</f>
        <v>1</v>
      </c>
      <c r="R46" s="7" t="str">
        <f t="shared" si="202"/>
        <v>0.95</v>
      </c>
      <c r="S46" s="2" t="str">
        <f t="shared" si="203"/>
        <v>1.326411111</v>
      </c>
      <c r="U46" s="2" t="str">
        <f t="shared" si="204"/>
        <v>0.009945138767</v>
      </c>
      <c r="V46" s="2" t="str">
        <f>'Текущий профиль'!S5</f>
        <v>1.084341982</v>
      </c>
      <c r="W46" s="2" t="str">
        <f t="shared" si="205"/>
        <v>0.8044933051</v>
      </c>
      <c r="X46" s="2" t="str">
        <f t="shared" si="206"/>
        <v>0.9949788324</v>
      </c>
      <c r="Y46" s="2" t="str">
        <f t="shared" si="207"/>
        <v>0.4743428592</v>
      </c>
      <c r="Z46" s="2" t="str">
        <f t="shared" si="208"/>
        <v>0.05475409131</v>
      </c>
      <c r="AA46" s="1" t="str">
        <f t="shared" si="209"/>
        <v>FALSE</v>
      </c>
      <c r="AB46" s="2" t="str">
        <f t="shared" si="210"/>
        <v>0.9551970053</v>
      </c>
      <c r="AC46" s="2" t="str">
        <f t="shared" si="211"/>
        <v>0.04191090627</v>
      </c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</row>
    <row r="47" ht="12.75" customHeight="1">
      <c r="A47" s="1"/>
      <c r="B47" s="1"/>
      <c r="C47" s="1"/>
      <c r="D47" s="1"/>
      <c r="E47" s="1"/>
      <c r="F47" s="2" t="str">
        <f>D38/D22</f>
        <v>0.2</v>
      </c>
      <c r="G47" s="1"/>
      <c r="H47" s="1"/>
      <c r="I47" s="1"/>
      <c r="J47" s="1"/>
      <c r="K47" s="1"/>
      <c r="L47" s="1"/>
      <c r="M47" s="1"/>
      <c r="N47" s="1"/>
      <c r="O47" s="1"/>
      <c r="P47" s="8"/>
      <c r="Q47" s="7" t="str">
        <f t="shared" si="212"/>
        <v>1</v>
      </c>
      <c r="R47" s="7" t="str">
        <f t="shared" si="202"/>
        <v>0.9</v>
      </c>
      <c r="S47" s="2" t="str">
        <f t="shared" si="203"/>
        <v>1.2566</v>
      </c>
      <c r="U47" s="2" t="str">
        <f t="shared" si="204"/>
        <v>0.009287940647</v>
      </c>
      <c r="V47" s="2" t="str">
        <f>'Текущий профиль'!S6</f>
        <v>1.088631419</v>
      </c>
      <c r="W47" s="2" t="str">
        <f t="shared" si="205"/>
        <v>0.7774715261</v>
      </c>
      <c r="X47" s="2" t="str">
        <f t="shared" si="206"/>
        <v>0.994373086</v>
      </c>
      <c r="Y47" s="2" t="str">
        <f t="shared" si="207"/>
        <v>0.4581259235</v>
      </c>
      <c r="Z47" s="2" t="str">
        <f t="shared" si="208"/>
        <v>0.05763456706</v>
      </c>
      <c r="AA47" s="1" t="str">
        <f t="shared" si="209"/>
        <v>FALSE</v>
      </c>
      <c r="AB47" s="2" t="str">
        <f t="shared" si="210"/>
        <v>0.9413241732</v>
      </c>
      <c r="AC47" s="2" t="str">
        <f t="shared" si="211"/>
        <v>0.03773393804</v>
      </c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8"/>
      <c r="Q48" s="7" t="str">
        <f t="shared" si="212"/>
        <v>1</v>
      </c>
      <c r="R48" s="7" t="str">
        <f t="shared" si="202"/>
        <v>0.85</v>
      </c>
      <c r="S48" s="2" t="str">
        <f t="shared" si="203"/>
        <v>1.186788889</v>
      </c>
      <c r="U48" s="2" t="str">
        <f t="shared" si="204"/>
        <v>0.008632834637</v>
      </c>
      <c r="V48" s="2" t="str">
        <f>'Текущий профиль'!S7</f>
        <v>1.110665754</v>
      </c>
      <c r="W48" s="2" t="str">
        <f t="shared" si="205"/>
        <v>0.760139806</v>
      </c>
      <c r="X48" s="2" t="str">
        <f t="shared" si="206"/>
        <v>0.9936926047</v>
      </c>
      <c r="Y48" s="2" t="str">
        <f t="shared" si="207"/>
        <v>0.4476069975</v>
      </c>
      <c r="Z48" s="2" t="str">
        <f t="shared" si="208"/>
        <v>0.05972961396</v>
      </c>
      <c r="AA48" s="1" t="str">
        <f t="shared" si="209"/>
        <v>FALSE</v>
      </c>
      <c r="AB48" s="2" t="str">
        <f t="shared" si="210"/>
        <v>0.9430329891</v>
      </c>
      <c r="AC48" s="2" t="str">
        <f t="shared" si="211"/>
        <v>0.0348239236</v>
      </c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8"/>
      <c r="Q49" s="7" t="str">
        <f t="shared" si="212"/>
        <v>1</v>
      </c>
      <c r="R49" s="7" t="str">
        <f t="shared" si="202"/>
        <v>0.8</v>
      </c>
      <c r="S49" s="2" t="str">
        <f t="shared" si="203"/>
        <v>1.116977778</v>
      </c>
      <c r="U49" s="2" t="str">
        <f t="shared" si="204"/>
        <v>0.007976746344</v>
      </c>
      <c r="V49" s="2" t="str">
        <f>'Текущий профиль'!S8</f>
        <v>1.144629862</v>
      </c>
      <c r="W49" s="2" t="str">
        <f t="shared" si="205"/>
        <v>0.7516934838</v>
      </c>
      <c r="X49" s="2" t="str">
        <f t="shared" si="206"/>
        <v>0.9929226921</v>
      </c>
      <c r="Y49" s="2" t="str">
        <f t="shared" si="207"/>
        <v>0.442295086</v>
      </c>
      <c r="Z49" s="2" t="str">
        <f t="shared" si="208"/>
        <v>0.06133174286</v>
      </c>
      <c r="AA49" s="1" t="str">
        <f t="shared" si="209"/>
        <v>FALSE</v>
      </c>
      <c r="AB49" s="2" t="str">
        <f t="shared" si="210"/>
        <v>0.9547470375</v>
      </c>
      <c r="AC49" s="2" t="str">
        <f t="shared" si="211"/>
        <v>0.03272669404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8"/>
      <c r="Q50" s="7" t="str">
        <f t="shared" si="212"/>
        <v>1</v>
      </c>
      <c r="R50" s="7" t="str">
        <f t="shared" si="202"/>
        <v>0.75</v>
      </c>
      <c r="S50" s="2" t="str">
        <f t="shared" si="203"/>
        <v>1.047166667</v>
      </c>
      <c r="U50" s="2" t="str">
        <f t="shared" si="204"/>
        <v>0.007317938067</v>
      </c>
      <c r="V50" s="2" t="str">
        <f>'Текущий профиль'!S9</f>
        <v>1.187878058</v>
      </c>
      <c r="W50" s="2" t="str">
        <f t="shared" si="205"/>
        <v>0.7531415263</v>
      </c>
      <c r="X50" s="2" t="str">
        <f t="shared" si="206"/>
        <v>0.992044876</v>
      </c>
      <c r="Y50" s="2" t="str">
        <f t="shared" si="207"/>
        <v>0.4427180494</v>
      </c>
      <c r="Z50" s="2" t="str">
        <f t="shared" si="208"/>
        <v>0.06261108122</v>
      </c>
      <c r="AA50" s="1" t="str">
        <f t="shared" si="209"/>
        <v>FALSE</v>
      </c>
      <c r="AB50" s="2" t="str">
        <f t="shared" si="210"/>
        <v>0.9741366144</v>
      </c>
      <c r="AC50" s="2" t="str">
        <f t="shared" si="211"/>
        <v>0.03126691998</v>
      </c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8"/>
      <c r="Q51" s="7" t="str">
        <f t="shared" si="212"/>
        <v>1</v>
      </c>
      <c r="R51" s="7" t="str">
        <f t="shared" si="202"/>
        <v>0.7</v>
      </c>
      <c r="S51" s="2" t="str">
        <f t="shared" si="203"/>
        <v>0.9773555556</v>
      </c>
      <c r="U51" s="2" t="str">
        <f t="shared" si="204"/>
        <v>0.0066560088</v>
      </c>
      <c r="V51" s="2" t="str">
        <f>'Текущий профиль'!S10</f>
        <v>1.234648384</v>
      </c>
      <c r="W51" s="2" t="str">
        <f t="shared" si="205"/>
        <v>0.7586815346</v>
      </c>
      <c r="X51" s="2" t="str">
        <f t="shared" si="206"/>
        <v>0.9910355748</v>
      </c>
      <c r="Y51" s="2" t="str">
        <f t="shared" si="207"/>
        <v>0.445348154</v>
      </c>
      <c r="Z51" s="2" t="str">
        <f t="shared" si="208"/>
        <v>0.06390969506</v>
      </c>
      <c r="AA51" s="1" t="str">
        <f t="shared" si="209"/>
        <v>FALSE</v>
      </c>
      <c r="AB51" s="2" t="str">
        <f t="shared" si="210"/>
        <v>0.9966414553</v>
      </c>
      <c r="AC51" s="2" t="str">
        <f t="shared" si="211"/>
        <v>0.02996003918</v>
      </c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8"/>
      <c r="Q52" s="7" t="str">
        <f t="shared" si="212"/>
        <v>1</v>
      </c>
      <c r="R52" s="7" t="str">
        <f t="shared" si="202"/>
        <v>0.65</v>
      </c>
      <c r="S52" s="2" t="str">
        <f t="shared" si="203"/>
        <v>0.9075444444</v>
      </c>
      <c r="U52" s="2" t="str">
        <f t="shared" si="204"/>
        <v>0.005991894227</v>
      </c>
      <c r="V52" s="2" t="str">
        <f>'Текущий профиль'!S11</f>
        <v>1.276344027</v>
      </c>
      <c r="W52" s="2" t="str">
        <f t="shared" si="205"/>
        <v>0.7640617536</v>
      </c>
      <c r="X52" s="2" t="str">
        <f t="shared" si="206"/>
        <v>0.9898641124</v>
      </c>
      <c r="Y52" s="2" t="str">
        <f t="shared" si="207"/>
        <v>0.4475239373</v>
      </c>
      <c r="Z52" s="2" t="str">
        <f t="shared" si="208"/>
        <v>0.06569894173</v>
      </c>
      <c r="AA52" s="1" t="str">
        <f t="shared" si="209"/>
        <v>FALSE</v>
      </c>
      <c r="AB52" s="2" t="str">
        <f t="shared" si="210"/>
        <v>0.985560849</v>
      </c>
      <c r="AC52" s="2" t="str">
        <f t="shared" si="211"/>
        <v>0.02756637947</v>
      </c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8"/>
      <c r="Q53" s="7" t="str">
        <f t="shared" si="212"/>
        <v>1</v>
      </c>
      <c r="R53" s="7" t="str">
        <f t="shared" si="202"/>
        <v>0.6</v>
      </c>
      <c r="S53" s="2" t="str">
        <f t="shared" si="203"/>
        <v>0.8377333333</v>
      </c>
      <c r="U53" s="2" t="str">
        <f t="shared" si="204"/>
        <v>0.005327866724</v>
      </c>
      <c r="V53" s="2" t="str">
        <f>'Текущий профиль'!S12</f>
        <v>1.30399802</v>
      </c>
      <c r="W53" s="2" t="str">
        <f t="shared" si="205"/>
        <v>0.764407826</v>
      </c>
      <c r="X53" s="2" t="str">
        <f t="shared" si="206"/>
        <v>0.9884896706</v>
      </c>
      <c r="Y53" s="2" t="str">
        <f t="shared" si="207"/>
        <v>0.4461803795</v>
      </c>
      <c r="Z53" s="2" t="str">
        <f t="shared" si="208"/>
        <v>0.06847146579</v>
      </c>
      <c r="AA53" s="1" t="str">
        <f t="shared" si="209"/>
        <v>FALSE</v>
      </c>
      <c r="AB53" s="2" t="str">
        <f t="shared" si="210"/>
        <v>0.9802120433</v>
      </c>
      <c r="AC53" s="2" t="str">
        <f t="shared" si="211"/>
        <v>0.02514770443</v>
      </c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8"/>
      <c r="Q54" s="7" t="str">
        <f t="shared" si="212"/>
        <v>1</v>
      </c>
      <c r="R54" s="7" t="str">
        <f t="shared" si="202"/>
        <v>0.55</v>
      </c>
      <c r="S54" s="2" t="str">
        <f t="shared" si="203"/>
        <v>0.7679222222</v>
      </c>
      <c r="U54" s="2" t="str">
        <f t="shared" si="204"/>
        <v>0.004667535361</v>
      </c>
      <c r="V54" s="2" t="str">
        <f>'Текущий профиль'!S13</f>
        <v>1.326606025</v>
      </c>
      <c r="W54" s="2" t="str">
        <f t="shared" si="205"/>
        <v>0.7592800038</v>
      </c>
      <c r="X54" s="2" t="str">
        <f t="shared" si="206"/>
        <v>0.9868564512</v>
      </c>
      <c r="Y54" s="2" t="str">
        <f t="shared" si="207"/>
        <v>0.4408204788</v>
      </c>
      <c r="Z54" s="2" t="str">
        <f t="shared" si="208"/>
        <v>0.07182397244</v>
      </c>
      <c r="AA54" s="1" t="str">
        <f t="shared" si="209"/>
        <v>FALSE</v>
      </c>
      <c r="AB54" s="2" t="str">
        <f t="shared" si="210"/>
        <v>0.9802338477</v>
      </c>
      <c r="AC54" s="2" t="str">
        <f t="shared" si="211"/>
        <v>0.02268562559</v>
      </c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8"/>
      <c r="Q55" s="7" t="str">
        <f t="shared" si="212"/>
        <v>1</v>
      </c>
      <c r="R55" s="7" t="str">
        <f t="shared" si="202"/>
        <v>0.5</v>
      </c>
      <c r="S55" s="2" t="str">
        <f t="shared" si="203"/>
        <v>0.6981111111</v>
      </c>
      <c r="U55" s="2" t="str">
        <f t="shared" si="204"/>
        <v>0.004015845899</v>
      </c>
      <c r="V55" s="2" t="str">
        <f>'Текущий профиль'!S14</f>
        <v>1.359136098</v>
      </c>
      <c r="W55" s="2" t="str">
        <f t="shared" si="205"/>
        <v>0.7621101391</v>
      </c>
      <c r="X55" s="2" t="str">
        <f t="shared" si="206"/>
        <v>0.9848856826</v>
      </c>
      <c r="Y55" s="2" t="str">
        <f t="shared" si="207"/>
        <v>0.438912804</v>
      </c>
      <c r="Z55" s="2" t="str">
        <f t="shared" si="208"/>
        <v>0.07500084066</v>
      </c>
      <c r="AA55" s="1" t="str">
        <f t="shared" si="209"/>
        <v>FALSE</v>
      </c>
      <c r="AB55" s="2" t="str">
        <f t="shared" si="210"/>
        <v>0.9755435409</v>
      </c>
      <c r="AC55" s="2" t="str">
        <f t="shared" si="211"/>
        <v>0.02033848117</v>
      </c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8"/>
      <c r="Q56" s="7" t="str">
        <f t="shared" si="212"/>
        <v>1</v>
      </c>
      <c r="R56" s="7" t="str">
        <f t="shared" si="202"/>
        <v>0.45</v>
      </c>
      <c r="S56" s="2" t="str">
        <f t="shared" si="203"/>
        <v>0.6283</v>
      </c>
      <c r="U56" s="2" t="str">
        <f t="shared" si="204"/>
        <v>0.003379080792</v>
      </c>
      <c r="V56" s="2" t="str">
        <f>'Текущий профиль'!S15</f>
        <v>1.383496091</v>
      </c>
      <c r="W56" s="2" t="str">
        <f t="shared" si="205"/>
        <v>0.7689833076</v>
      </c>
      <c r="X56" s="2" t="str">
        <f t="shared" si="206"/>
        <v>0.9824617804</v>
      </c>
      <c r="Y56" s="2" t="str">
        <f t="shared" si="207"/>
        <v>0.4376788004</v>
      </c>
      <c r="Z56" s="2" t="str">
        <f t="shared" si="208"/>
        <v>0.0790495148</v>
      </c>
      <c r="AA56" s="1" t="str">
        <f t="shared" si="209"/>
        <v>FALSE</v>
      </c>
      <c r="AB56" s="2" t="str">
        <f t="shared" si="210"/>
        <v>0.9798793914</v>
      </c>
      <c r="AC56" s="2" t="str">
        <f t="shared" si="211"/>
        <v>0.01822707856</v>
      </c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8"/>
      <c r="Q57" s="7" t="str">
        <f t="shared" si="212"/>
        <v>1</v>
      </c>
      <c r="R57" s="7" t="str">
        <f t="shared" si="202"/>
        <v>0.4</v>
      </c>
      <c r="S57" s="2" t="str">
        <f t="shared" si="203"/>
        <v>0.5584888889</v>
      </c>
      <c r="U57" s="2" t="str">
        <f t="shared" si="204"/>
        <v>0.002764859186</v>
      </c>
      <c r="V57" s="2" t="str">
        <f>'Текущий профиль'!S16</f>
        <v>1.383003179</v>
      </c>
      <c r="W57" s="2" t="str">
        <f t="shared" si="205"/>
        <v>0.7778261644</v>
      </c>
      <c r="X57" s="2" t="str">
        <f t="shared" si="206"/>
        <v>0.9794070027</v>
      </c>
      <c r="Y57" s="2" t="str">
        <f t="shared" si="207"/>
        <v>0.4353078192</v>
      </c>
      <c r="Z57" s="2" t="str">
        <f t="shared" si="208"/>
        <v>0.08510811443</v>
      </c>
      <c r="AA57" s="1" t="str">
        <f t="shared" si="209"/>
        <v>FALSE</v>
      </c>
      <c r="AB57" s="2" t="str">
        <f t="shared" si="210"/>
        <v>0.9945424758</v>
      </c>
      <c r="AC57" s="2" t="str">
        <f t="shared" si="211"/>
        <v>0.01623495436</v>
      </c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8"/>
      <c r="Q58" s="7" t="str">
        <f t="shared" si="212"/>
        <v>1</v>
      </c>
      <c r="R58" s="7" t="str">
        <f t="shared" si="202"/>
        <v>0.35</v>
      </c>
      <c r="S58" s="2" t="str">
        <f t="shared" si="203"/>
        <v>0.4886777778</v>
      </c>
      <c r="U58" s="2" t="str">
        <f t="shared" si="204"/>
        <v>0.002182136918</v>
      </c>
      <c r="V58" s="2" t="str">
        <f>'Текущий профиль'!S17</f>
        <v>1.348248233</v>
      </c>
      <c r="W58" s="2" t="str">
        <f t="shared" si="205"/>
        <v>0.7478544637</v>
      </c>
      <c r="X58" s="2" t="str">
        <f t="shared" si="206"/>
        <v>0.9754317582</v>
      </c>
      <c r="Y58" s="2" t="str">
        <f t="shared" si="207"/>
        <v>0.4087298985</v>
      </c>
      <c r="Z58" s="2" t="str">
        <f t="shared" si="208"/>
        <v>0.09427969579</v>
      </c>
      <c r="AA58" s="1" t="str">
        <f t="shared" si="209"/>
        <v>FALSE</v>
      </c>
      <c r="AB58" s="2" t="str">
        <f t="shared" si="210"/>
        <v>0.9480627214</v>
      </c>
      <c r="AC58" s="2" t="str">
        <f t="shared" si="211"/>
        <v>0.01259380135</v>
      </c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8"/>
      <c r="Q59" s="7" t="str">
        <f t="shared" si="212"/>
        <v>1</v>
      </c>
      <c r="R59" s="7" t="str">
        <f t="shared" si="202"/>
        <v>0.3</v>
      </c>
      <c r="S59" s="2" t="str">
        <f t="shared" si="203"/>
        <v>0.4188666667</v>
      </c>
      <c r="U59" s="2" t="str">
        <f t="shared" si="204"/>
        <v>0.00164120652</v>
      </c>
      <c r="V59" s="2" t="str">
        <f>'Текущий профиль'!S18</f>
        <v>1.476941171</v>
      </c>
      <c r="W59" s="2" t="str">
        <f t="shared" si="205"/>
        <v>0.7918706727</v>
      </c>
      <c r="X59" s="2" t="str">
        <f t="shared" si="206"/>
        <v>0.9700284898</v>
      </c>
      <c r="Y59" s="2" t="str">
        <f t="shared" si="207"/>
        <v>0.4187492948</v>
      </c>
      <c r="Z59" s="2" t="str">
        <f t="shared" si="208"/>
        <v>0.09325595453</v>
      </c>
      <c r="AA59" s="1" t="str">
        <f t="shared" si="209"/>
        <v>FALSE</v>
      </c>
      <c r="AB59" s="2" t="str">
        <f t="shared" si="210"/>
        <v>0.9995181704</v>
      </c>
      <c r="AC59" s="2" t="str">
        <f t="shared" si="211"/>
        <v>0.01151005705</v>
      </c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8"/>
      <c r="Q60" s="7" t="str">
        <f t="shared" si="212"/>
        <v>1</v>
      </c>
      <c r="R60" s="7" t="str">
        <f t="shared" si="202"/>
        <v>0.25</v>
      </c>
      <c r="S60" s="2" t="str">
        <f t="shared" si="203"/>
        <v>0.3490555556</v>
      </c>
      <c r="U60" s="2" t="str">
        <f t="shared" si="204"/>
        <v>0.001153697214</v>
      </c>
      <c r="V60" s="2" t="str">
        <f>'Текущий профиль'!S19</f>
        <v>1.539398084</v>
      </c>
      <c r="W60" s="2" t="str">
        <f t="shared" si="205"/>
        <v>0.7873831233</v>
      </c>
      <c r="X60" s="2" t="str">
        <f t="shared" si="206"/>
        <v>0.962218651</v>
      </c>
      <c r="Y60" s="2" t="str">
        <f t="shared" si="207"/>
        <v>0.3977374802</v>
      </c>
      <c r="Z60" s="2" t="str">
        <f t="shared" si="208"/>
        <v>0.09717914479</v>
      </c>
      <c r="AA60" s="1" t="str">
        <f t="shared" si="209"/>
        <v>FALSE</v>
      </c>
      <c r="AB60" s="2" t="str">
        <f t="shared" si="210"/>
        <v>0.9898444557</v>
      </c>
      <c r="AC60" s="2" t="str">
        <f t="shared" si="211"/>
        <v>0.008858210391</v>
      </c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8"/>
      <c r="Q61" s="7" t="str">
        <f t="shared" si="212"/>
        <v>1</v>
      </c>
      <c r="R61" s="7" t="str">
        <f t="shared" si="202"/>
        <v>0.2</v>
      </c>
      <c r="S61" s="2" t="str">
        <f t="shared" si="203"/>
        <v>0.2792444444</v>
      </c>
      <c r="U61" s="2" t="str">
        <f>(E22+F22)/1000/(D22-D23)/1.5*U45</f>
        <v>0.008345620863</v>
      </c>
      <c r="V61" s="2" t="str">
        <f>'Текущий профиль'!S20</f>
        <v>1.626671411</v>
      </c>
      <c r="W61" s="2" t="str">
        <f t="shared" si="205"/>
        <v>0.8058392785</v>
      </c>
      <c r="X61" s="2" t="str">
        <f t="shared" si="206"/>
        <v>0.9498525124</v>
      </c>
      <c r="Y61" s="2" t="str">
        <f t="shared" si="207"/>
        <v>0.3816701872</v>
      </c>
      <c r="Z61" s="2" t="str">
        <f t="shared" si="208"/>
        <v>0.09974235269</v>
      </c>
      <c r="AA61" s="1" t="str">
        <f t="shared" si="209"/>
        <v>FALSE</v>
      </c>
      <c r="AB61" s="2" t="str">
        <f t="shared" si="210"/>
        <v>0.9648611884</v>
      </c>
      <c r="AC61" s="2" t="str">
        <f t="shared" si="211"/>
        <v>0.006444528132</v>
      </c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8"/>
      <c r="S62" s="1"/>
      <c r="U62" s="2" t="str">
        <f>SUM(U45:U61)</f>
        <v>0.09989519105</v>
      </c>
      <c r="V62" s="1"/>
      <c r="W62" s="1"/>
      <c r="X62" s="1"/>
      <c r="Y62" s="1"/>
      <c r="Z62" s="1"/>
      <c r="AA62" s="1"/>
      <c r="AB62" s="1"/>
      <c r="AC62" s="2" t="str">
        <f>SUM(AC45:AC61)</f>
        <v>0.4265132537</v>
      </c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8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8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</row>
    <row r="65" ht="38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8"/>
      <c r="Q65" s="1"/>
      <c r="R65" s="1"/>
      <c r="S65" s="1"/>
      <c r="T65" s="9" t="s">
        <v>130</v>
      </c>
      <c r="U65" s="9" t="s">
        <v>131</v>
      </c>
      <c r="V65" s="9" t="s">
        <v>132</v>
      </c>
      <c r="W65" s="9" t="s">
        <v>127</v>
      </c>
      <c r="X65" s="1" t="s">
        <v>128</v>
      </c>
      <c r="Y65" s="1" t="s">
        <v>129</v>
      </c>
      <c r="Z65" s="9" t="s">
        <v>57</v>
      </c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8"/>
      <c r="Q66" s="1"/>
      <c r="R66" s="1"/>
      <c r="S66" s="1"/>
      <c r="T66" s="2" t="str">
        <f t="shared" ref="T66:T82" si="213">(1-AC2/Q22)/(1-1/AC2/Q22)*4*AD2*(1-AD2)/(1+AD2)*X45</f>
        <v>0.5596728769</v>
      </c>
      <c r="U66" s="2" t="str">
        <f t="shared" ref="U66:U82" si="214">1/AH2*8*3.1415*Y2/V45*AD2/((1+AD2)*(1-AD2)*(1-AD2))/(AC2+1/Q22)/SQRT(1+AC2*AC2)</f>
        <v>0.05698494365</v>
      </c>
      <c r="V66" s="2" t="str">
        <f t="shared" ref="V66:V82" si="215">T66*AB45*(Y2*Y2-Y3*Y3)</f>
        <v>0.05448692065</v>
      </c>
      <c r="W66" s="2" t="str">
        <f>V83/(Y2*Y2-Y18*Y18)</f>
        <v>0.4965428365</v>
      </c>
      <c r="X66" s="2" t="str">
        <f>(G4-H9*G5*H22*V45)*(G4-H9*G5*H22*V45)/G4/G4</f>
        <v>0.8594301623</v>
      </c>
      <c r="Y66" s="2" t="str">
        <f>(Y2*Y2-Y18*Y18)/(Y2*Y2)</f>
        <v>0.96</v>
      </c>
      <c r="Z66" s="2" t="str">
        <f>W66*X66*Y66</f>
        <v>0.4096741349</v>
      </c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8"/>
      <c r="Q67" s="1"/>
      <c r="R67" s="1"/>
      <c r="S67" s="1"/>
      <c r="T67" s="2" t="str">
        <f t="shared" si="213"/>
        <v>0.5346034628</v>
      </c>
      <c r="U67" s="2" t="str">
        <f t="shared" si="214"/>
        <v>0.06177625719</v>
      </c>
      <c r="V67" s="2" t="str">
        <f t="shared" si="215"/>
        <v>0.04723527547</v>
      </c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8"/>
      <c r="Q68" s="1"/>
      <c r="R68" s="1"/>
      <c r="S68" s="1"/>
      <c r="T68" s="2" t="str">
        <f t="shared" si="213"/>
        <v>0.5171922201</v>
      </c>
      <c r="U68" s="2" t="str">
        <f t="shared" si="214"/>
        <v>0.06510768288</v>
      </c>
      <c r="V68" s="2" t="str">
        <f t="shared" si="215"/>
        <v>0.04259898466</v>
      </c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8"/>
      <c r="Q69" s="1"/>
      <c r="R69" s="1"/>
      <c r="S69" s="1"/>
      <c r="T69" s="2" t="str">
        <f t="shared" si="213"/>
        <v>0.505563581</v>
      </c>
      <c r="U69" s="2" t="str">
        <f t="shared" si="214"/>
        <v>0.0674836202</v>
      </c>
      <c r="V69" s="2" t="str">
        <f t="shared" si="215"/>
        <v>0.03933295863</v>
      </c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8"/>
      <c r="Q70" s="1"/>
      <c r="R70" s="1"/>
      <c r="S70" s="1"/>
      <c r="T70" s="2" t="str">
        <f t="shared" si="213"/>
        <v>0.4992162101</v>
      </c>
      <c r="U70" s="2" t="str">
        <f t="shared" si="214"/>
        <v>0.06922674735</v>
      </c>
      <c r="V70" s="2" t="str">
        <f t="shared" si="215"/>
        <v>0.03693845282</v>
      </c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8"/>
      <c r="Q71" s="1"/>
      <c r="R71" s="1"/>
      <c r="S71" s="1"/>
      <c r="T71" s="2" t="str">
        <f t="shared" si="213"/>
        <v>0.4987518096</v>
      </c>
      <c r="U71" s="2" t="str">
        <f t="shared" si="214"/>
        <v>0.07052936856</v>
      </c>
      <c r="V71" s="2" t="str">
        <f t="shared" si="215"/>
        <v>0.03522429895</v>
      </c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8"/>
      <c r="Q72" s="1"/>
      <c r="R72" s="1"/>
      <c r="S72" s="1"/>
      <c r="T72" s="2" t="str">
        <f t="shared" si="213"/>
        <v>0.5002341871</v>
      </c>
      <c r="U72" s="2" t="str">
        <f t="shared" si="214"/>
        <v>0.07177294925</v>
      </c>
      <c r="V72" s="2" t="str">
        <f t="shared" si="215"/>
        <v>0.03365240366</v>
      </c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8"/>
      <c r="Q73" s="1"/>
      <c r="R73" s="1"/>
      <c r="S73" s="1"/>
      <c r="T73" s="2" t="str">
        <f t="shared" si="213"/>
        <v>0.5007405665</v>
      </c>
      <c r="U73" s="2" t="str">
        <f t="shared" si="214"/>
        <v>0.07348025338</v>
      </c>
      <c r="V73" s="2" t="str">
        <f t="shared" si="215"/>
        <v>0.03084439362</v>
      </c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8"/>
      <c r="Q74" s="1"/>
      <c r="R74" s="1"/>
      <c r="S74" s="1"/>
      <c r="T74" s="2" t="str">
        <f t="shared" si="213"/>
        <v>0.4969971312</v>
      </c>
      <c r="U74" s="2" t="str">
        <f t="shared" si="214"/>
        <v>0.07618258389</v>
      </c>
      <c r="V74" s="2" t="str">
        <f t="shared" si="215"/>
        <v>0.02801184798</v>
      </c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8"/>
      <c r="Q75" s="1"/>
      <c r="R75" s="1"/>
      <c r="S75" s="1"/>
      <c r="T75" s="2" t="str">
        <f t="shared" si="213"/>
        <v>0.4886544408</v>
      </c>
      <c r="U75" s="2" t="str">
        <f t="shared" si="214"/>
        <v>0.07940590873</v>
      </c>
      <c r="V75" s="2" t="str">
        <f t="shared" si="215"/>
        <v>0.02514727019</v>
      </c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8"/>
      <c r="Q76" s="1"/>
      <c r="R76" s="1"/>
      <c r="S76" s="1"/>
      <c r="T76" s="2" t="str">
        <f t="shared" si="213"/>
        <v>0.4839523742</v>
      </c>
      <c r="U76" s="2" t="str">
        <f t="shared" si="214"/>
        <v>0.08233578584</v>
      </c>
      <c r="V76" s="2" t="str">
        <f t="shared" si="215"/>
        <v>0.02242553911</v>
      </c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8"/>
      <c r="Q77" s="1"/>
      <c r="R77" s="1"/>
      <c r="S77" s="1"/>
      <c r="T77" s="2" t="str">
        <f t="shared" si="213"/>
        <v>0.4799720463</v>
      </c>
      <c r="U77" s="2" t="str">
        <f t="shared" si="214"/>
        <v>0.08611290763</v>
      </c>
      <c r="V77" s="2" t="str">
        <f t="shared" si="215"/>
        <v>0.01998837546</v>
      </c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8"/>
      <c r="Q78" s="1"/>
      <c r="R78" s="1"/>
      <c r="S78" s="1"/>
      <c r="T78" s="2" t="str">
        <f t="shared" si="213"/>
        <v>0.4749660106</v>
      </c>
      <c r="U78" s="2" t="str">
        <f t="shared" si="214"/>
        <v>0.09193695862</v>
      </c>
      <c r="V78" s="2" t="str">
        <f t="shared" si="215"/>
        <v>0.0177140202</v>
      </c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8"/>
      <c r="Q79" s="1"/>
      <c r="R79" s="1"/>
      <c r="S79" s="1"/>
      <c r="T79" s="2" t="str">
        <f t="shared" si="213"/>
        <v>0.4459327051</v>
      </c>
      <c r="U79" s="2" t="str">
        <f t="shared" si="214"/>
        <v>0.1005439919</v>
      </c>
      <c r="V79" s="2" t="str">
        <f t="shared" si="215"/>
        <v>0.01374009565</v>
      </c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8"/>
      <c r="Q80" s="1"/>
      <c r="R80" s="1"/>
      <c r="S80" s="1"/>
      <c r="T80" s="2" t="str">
        <f t="shared" si="213"/>
        <v>0.454804174</v>
      </c>
      <c r="U80" s="2" t="str">
        <f t="shared" si="214"/>
        <v>0.09872281107</v>
      </c>
      <c r="V80" s="2" t="str">
        <f t="shared" si="215"/>
        <v>0.01250108849</v>
      </c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8"/>
      <c r="Q81" s="1"/>
      <c r="R81" s="1"/>
      <c r="S81" s="1"/>
      <c r="T81" s="2" t="str">
        <f t="shared" si="213"/>
        <v>0.4350204411</v>
      </c>
      <c r="U81" s="2" t="str">
        <f t="shared" si="214"/>
        <v>0.1012979978</v>
      </c>
      <c r="V81" s="2" t="str">
        <f t="shared" si="215"/>
        <v>0.009688557864</v>
      </c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8"/>
      <c r="Q82" s="1"/>
      <c r="R82" s="1"/>
      <c r="S82" s="1"/>
      <c r="T82" s="2" t="str">
        <f t="shared" si="213"/>
        <v>0.4234888734</v>
      </c>
      <c r="U82" s="2" t="str">
        <f t="shared" si="214"/>
        <v>0.1022895723</v>
      </c>
      <c r="V82" s="2" t="str">
        <f t="shared" si="215"/>
        <v>0.007150639609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8"/>
      <c r="Q83" s="1"/>
      <c r="R83" s="1"/>
      <c r="S83" s="1"/>
      <c r="T83" s="1"/>
      <c r="U83" s="1"/>
      <c r="V83" s="2" t="str">
        <f>SUM(V66:V82)</f>
        <v>0.476681123</v>
      </c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8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8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8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8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8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8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8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8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8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8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8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8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8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8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8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8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8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8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8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8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8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8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8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8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8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8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8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8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8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8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8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8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8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8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8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8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8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8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8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8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8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8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</row>
    <row r="184" ht="12.75" customHeight="1">
      <c r="C184" s="4"/>
      <c r="D184" s="4"/>
      <c r="H184" s="4"/>
      <c r="J184" s="4"/>
      <c r="N184" s="4"/>
      <c r="AA184" s="4"/>
    </row>
    <row r="185" ht="12.75" customHeight="1">
      <c r="C185" s="4"/>
      <c r="D185" s="4"/>
      <c r="H185" s="4"/>
      <c r="J185" s="4"/>
      <c r="N185" s="4"/>
      <c r="AA185" s="4"/>
    </row>
    <row r="186" ht="12.75" customHeight="1">
      <c r="C186" s="4"/>
      <c r="D186" s="4"/>
      <c r="H186" s="4"/>
      <c r="J186" s="4"/>
      <c r="N186" s="4"/>
      <c r="AA186" s="4"/>
    </row>
    <row r="187" ht="12.75" customHeight="1">
      <c r="C187" s="4"/>
      <c r="D187" s="4"/>
      <c r="H187" s="4"/>
      <c r="J187" s="4"/>
      <c r="N187" s="4"/>
      <c r="AA187" s="4"/>
    </row>
    <row r="188" ht="12.75" customHeight="1">
      <c r="C188" s="4"/>
      <c r="D188" s="4"/>
      <c r="H188" s="4"/>
      <c r="J188" s="4"/>
      <c r="N188" s="4"/>
      <c r="AA188" s="4"/>
    </row>
    <row r="189" ht="12.75" customHeight="1">
      <c r="C189" s="4"/>
      <c r="D189" s="4"/>
      <c r="H189" s="4"/>
      <c r="J189" s="4"/>
      <c r="N189" s="4"/>
      <c r="AA189" s="4"/>
    </row>
    <row r="190" ht="12.75" customHeight="1">
      <c r="C190" s="4"/>
      <c r="D190" s="4"/>
      <c r="H190" s="4"/>
      <c r="J190" s="4"/>
      <c r="N190" s="4"/>
      <c r="AA190" s="4"/>
    </row>
    <row r="191" ht="12.75" customHeight="1">
      <c r="C191" s="4"/>
      <c r="D191" s="4"/>
      <c r="H191" s="4"/>
      <c r="J191" s="4"/>
      <c r="N191" s="4"/>
      <c r="AA191" s="4"/>
    </row>
    <row r="192" ht="12.75" customHeight="1">
      <c r="C192" s="4"/>
      <c r="D192" s="4"/>
      <c r="H192" s="4"/>
      <c r="J192" s="4"/>
      <c r="N192" s="4"/>
      <c r="AA192" s="4"/>
    </row>
    <row r="193" ht="12.75" customHeight="1">
      <c r="C193" s="4"/>
      <c r="D193" s="4"/>
      <c r="H193" s="4"/>
      <c r="J193" s="4"/>
      <c r="N193" s="4"/>
      <c r="AA193" s="4"/>
    </row>
    <row r="194" ht="12.75" customHeight="1">
      <c r="C194" s="4"/>
      <c r="D194" s="4"/>
      <c r="H194" s="4"/>
      <c r="J194" s="4"/>
      <c r="N194" s="4"/>
      <c r="AA194" s="4"/>
    </row>
    <row r="195" ht="12.75" customHeight="1">
      <c r="C195" s="4"/>
      <c r="D195" s="4"/>
      <c r="H195" s="4"/>
      <c r="J195" s="4"/>
      <c r="N195" s="4"/>
      <c r="AA195" s="4"/>
    </row>
    <row r="196" ht="12.75" customHeight="1">
      <c r="C196" s="4"/>
      <c r="D196" s="4"/>
      <c r="H196" s="4"/>
      <c r="J196" s="4"/>
      <c r="N196" s="4"/>
      <c r="AA196" s="4"/>
    </row>
    <row r="197" ht="12.75" customHeight="1">
      <c r="C197" s="4"/>
      <c r="D197" s="4"/>
      <c r="H197" s="4"/>
      <c r="J197" s="4"/>
      <c r="N197" s="4"/>
      <c r="AA197" s="4"/>
    </row>
    <row r="198" ht="12.75" customHeight="1">
      <c r="C198" s="4"/>
      <c r="D198" s="4"/>
      <c r="H198" s="4"/>
      <c r="J198" s="4"/>
      <c r="N198" s="4"/>
      <c r="AA198" s="4"/>
    </row>
    <row r="199" ht="12.75" customHeight="1">
      <c r="C199" s="4"/>
      <c r="D199" s="4"/>
      <c r="H199" s="4"/>
      <c r="J199" s="4"/>
      <c r="N199" s="4"/>
      <c r="AA199" s="4"/>
    </row>
    <row r="200" ht="12.75" customHeight="1">
      <c r="C200" s="4"/>
      <c r="D200" s="4"/>
      <c r="H200" s="4"/>
      <c r="J200" s="4"/>
      <c r="N200" s="4"/>
      <c r="AA200" s="4"/>
    </row>
    <row r="201" ht="12.75" customHeight="1">
      <c r="C201" s="4"/>
      <c r="D201" s="4"/>
      <c r="H201" s="4"/>
      <c r="J201" s="4"/>
      <c r="N201" s="4"/>
      <c r="AA201" s="4"/>
    </row>
    <row r="202" ht="12.75" customHeight="1">
      <c r="C202" s="4"/>
      <c r="D202" s="4"/>
      <c r="H202" s="4"/>
      <c r="J202" s="4"/>
      <c r="N202" s="4"/>
      <c r="AA202" s="4"/>
    </row>
    <row r="203" ht="12.75" customHeight="1">
      <c r="C203" s="4"/>
      <c r="D203" s="4"/>
      <c r="H203" s="4"/>
      <c r="J203" s="4"/>
      <c r="N203" s="4"/>
      <c r="AA203" s="4"/>
    </row>
    <row r="204" ht="12.75" customHeight="1">
      <c r="C204" s="4"/>
      <c r="D204" s="4"/>
      <c r="H204" s="4"/>
      <c r="J204" s="4"/>
      <c r="N204" s="4"/>
      <c r="AA204" s="4"/>
    </row>
    <row r="205" ht="12.75" customHeight="1">
      <c r="C205" s="4"/>
      <c r="D205" s="4"/>
      <c r="H205" s="4"/>
      <c r="J205" s="4"/>
      <c r="N205" s="4"/>
      <c r="AA205" s="4"/>
    </row>
    <row r="206" ht="12.75" customHeight="1">
      <c r="C206" s="4"/>
      <c r="D206" s="4"/>
      <c r="H206" s="4"/>
      <c r="J206" s="4"/>
      <c r="N206" s="4"/>
      <c r="AA206" s="4"/>
    </row>
    <row r="207" ht="12.75" customHeight="1">
      <c r="C207" s="4"/>
      <c r="D207" s="4"/>
      <c r="H207" s="4"/>
      <c r="J207" s="4"/>
      <c r="N207" s="4"/>
      <c r="AA207" s="4"/>
    </row>
    <row r="208" ht="12.75" customHeight="1">
      <c r="C208" s="4"/>
      <c r="D208" s="4"/>
      <c r="H208" s="4"/>
      <c r="J208" s="4"/>
      <c r="N208" s="4"/>
      <c r="AA208" s="4"/>
    </row>
    <row r="209" ht="12.75" customHeight="1">
      <c r="C209" s="4"/>
      <c r="D209" s="4"/>
      <c r="H209" s="4"/>
      <c r="J209" s="4"/>
      <c r="N209" s="4"/>
      <c r="AA209" s="4"/>
    </row>
    <row r="210" ht="12.75" customHeight="1">
      <c r="C210" s="4"/>
      <c r="D210" s="4"/>
      <c r="H210" s="4"/>
      <c r="J210" s="4"/>
      <c r="N210" s="4"/>
      <c r="AA210" s="4"/>
    </row>
    <row r="211" ht="12.75" customHeight="1">
      <c r="C211" s="4"/>
      <c r="D211" s="4"/>
      <c r="H211" s="4"/>
      <c r="J211" s="4"/>
      <c r="N211" s="4"/>
      <c r="AA211" s="4"/>
    </row>
    <row r="212" ht="12.75" customHeight="1">
      <c r="C212" s="4"/>
      <c r="D212" s="4"/>
      <c r="H212" s="4"/>
      <c r="J212" s="4"/>
      <c r="N212" s="4"/>
      <c r="AA212" s="4"/>
    </row>
    <row r="213" ht="12.75" customHeight="1">
      <c r="C213" s="4"/>
      <c r="D213" s="4"/>
      <c r="H213" s="4"/>
      <c r="J213" s="4"/>
      <c r="N213" s="4"/>
      <c r="AA213" s="4"/>
    </row>
    <row r="214" ht="12.75" customHeight="1">
      <c r="C214" s="4"/>
      <c r="D214" s="4"/>
      <c r="H214" s="4"/>
      <c r="J214" s="4"/>
      <c r="N214" s="4"/>
      <c r="AA214" s="4"/>
    </row>
    <row r="215" ht="12.75" customHeight="1">
      <c r="C215" s="4"/>
      <c r="D215" s="4"/>
      <c r="H215" s="4"/>
      <c r="J215" s="4"/>
      <c r="N215" s="4"/>
      <c r="AA215" s="4"/>
    </row>
    <row r="216" ht="12.75" customHeight="1">
      <c r="C216" s="4"/>
      <c r="D216" s="4"/>
      <c r="H216" s="4"/>
      <c r="J216" s="4"/>
      <c r="N216" s="4"/>
      <c r="AA216" s="4"/>
    </row>
    <row r="217" ht="12.75" customHeight="1">
      <c r="C217" s="4"/>
      <c r="D217" s="4"/>
      <c r="H217" s="4"/>
      <c r="J217" s="4"/>
      <c r="N217" s="4"/>
      <c r="AA217" s="4"/>
    </row>
    <row r="218" ht="12.75" customHeight="1">
      <c r="C218" s="4"/>
      <c r="D218" s="4"/>
      <c r="H218" s="4"/>
      <c r="J218" s="4"/>
      <c r="N218" s="4"/>
      <c r="AA218" s="4"/>
    </row>
    <row r="219" ht="12.75" customHeight="1">
      <c r="C219" s="4"/>
      <c r="D219" s="4"/>
      <c r="H219" s="4"/>
      <c r="J219" s="4"/>
      <c r="N219" s="4"/>
      <c r="AA219" s="4"/>
    </row>
    <row r="220" ht="12.75" customHeight="1">
      <c r="C220" s="4"/>
      <c r="D220" s="4"/>
      <c r="H220" s="4"/>
      <c r="J220" s="4"/>
      <c r="N220" s="4"/>
      <c r="AA220" s="4"/>
    </row>
    <row r="221" ht="12.75" customHeight="1">
      <c r="C221" s="4"/>
      <c r="D221" s="4"/>
      <c r="H221" s="4"/>
      <c r="J221" s="4"/>
      <c r="N221" s="4"/>
      <c r="AA221" s="4"/>
    </row>
    <row r="222" ht="12.75" customHeight="1">
      <c r="C222" s="4"/>
      <c r="D222" s="4"/>
      <c r="H222" s="4"/>
      <c r="J222" s="4"/>
      <c r="N222" s="4"/>
      <c r="AA222" s="4"/>
    </row>
    <row r="223" ht="12.75" customHeight="1">
      <c r="C223" s="4"/>
      <c r="D223" s="4"/>
      <c r="H223" s="4"/>
      <c r="J223" s="4"/>
      <c r="N223" s="4"/>
      <c r="AA223" s="4"/>
    </row>
    <row r="224" ht="12.75" customHeight="1">
      <c r="C224" s="4"/>
      <c r="D224" s="4"/>
      <c r="H224" s="4"/>
      <c r="J224" s="4"/>
      <c r="N224" s="4"/>
      <c r="AA224" s="4"/>
    </row>
    <row r="225" ht="12.75" customHeight="1">
      <c r="C225" s="4"/>
      <c r="D225" s="4"/>
      <c r="H225" s="4"/>
      <c r="J225" s="4"/>
      <c r="N225" s="4"/>
      <c r="AA225" s="4"/>
    </row>
    <row r="226" ht="12.75" customHeight="1">
      <c r="C226" s="4"/>
      <c r="D226" s="4"/>
      <c r="H226" s="4"/>
      <c r="J226" s="4"/>
      <c r="N226" s="4"/>
      <c r="AA226" s="4"/>
    </row>
    <row r="227" ht="12.75" customHeight="1">
      <c r="C227" s="4"/>
      <c r="D227" s="4"/>
      <c r="H227" s="4"/>
      <c r="J227" s="4"/>
      <c r="N227" s="4"/>
      <c r="AA227" s="4"/>
    </row>
    <row r="228" ht="12.75" customHeight="1">
      <c r="C228" s="4"/>
      <c r="D228" s="4"/>
      <c r="H228" s="4"/>
      <c r="J228" s="4"/>
      <c r="N228" s="4"/>
      <c r="AA228" s="4"/>
    </row>
    <row r="229" ht="12.75" customHeight="1">
      <c r="C229" s="4"/>
      <c r="D229" s="4"/>
      <c r="H229" s="4"/>
      <c r="J229" s="4"/>
      <c r="N229" s="4"/>
      <c r="AA229" s="4"/>
    </row>
    <row r="230" ht="12.75" customHeight="1">
      <c r="C230" s="4"/>
      <c r="D230" s="4"/>
      <c r="H230" s="4"/>
      <c r="J230" s="4"/>
      <c r="N230" s="4"/>
      <c r="AA230" s="4"/>
    </row>
    <row r="231" ht="12.75" customHeight="1">
      <c r="C231" s="4"/>
      <c r="D231" s="4"/>
      <c r="H231" s="4"/>
      <c r="J231" s="4"/>
      <c r="N231" s="4"/>
      <c r="AA231" s="4"/>
    </row>
    <row r="232" ht="12.75" customHeight="1">
      <c r="C232" s="4"/>
      <c r="D232" s="4"/>
      <c r="H232" s="4"/>
      <c r="J232" s="4"/>
      <c r="N232" s="4"/>
      <c r="AA232" s="4"/>
    </row>
    <row r="233" ht="12.75" customHeight="1">
      <c r="C233" s="4"/>
      <c r="D233" s="4"/>
      <c r="H233" s="4"/>
      <c r="J233" s="4"/>
      <c r="N233" s="4"/>
      <c r="AA233" s="4"/>
    </row>
    <row r="234" ht="12.75" customHeight="1">
      <c r="C234" s="4"/>
      <c r="D234" s="4"/>
      <c r="H234" s="4"/>
      <c r="J234" s="4"/>
      <c r="N234" s="4"/>
      <c r="AA234" s="4"/>
    </row>
    <row r="235" ht="12.75" customHeight="1">
      <c r="C235" s="4"/>
      <c r="D235" s="4"/>
      <c r="H235" s="4"/>
      <c r="J235" s="4"/>
      <c r="N235" s="4"/>
      <c r="AA235" s="4"/>
    </row>
    <row r="236" ht="12.75" customHeight="1">
      <c r="C236" s="4"/>
      <c r="D236" s="4"/>
      <c r="H236" s="4"/>
      <c r="J236" s="4"/>
      <c r="N236" s="4"/>
      <c r="AA236" s="4"/>
    </row>
    <row r="237" ht="12.75" customHeight="1">
      <c r="C237" s="4"/>
      <c r="D237" s="4"/>
      <c r="H237" s="4"/>
      <c r="J237" s="4"/>
      <c r="N237" s="4"/>
      <c r="AA237" s="4"/>
    </row>
    <row r="238" ht="12.75" customHeight="1">
      <c r="C238" s="4"/>
      <c r="D238" s="4"/>
      <c r="H238" s="4"/>
      <c r="J238" s="4"/>
      <c r="N238" s="4"/>
      <c r="AA238" s="4"/>
    </row>
    <row r="239" ht="12.75" customHeight="1">
      <c r="C239" s="4"/>
      <c r="D239" s="4"/>
      <c r="H239" s="4"/>
      <c r="J239" s="4"/>
      <c r="N239" s="4"/>
      <c r="AA239" s="4"/>
    </row>
    <row r="240" ht="12.75" customHeight="1">
      <c r="C240" s="4"/>
      <c r="D240" s="4"/>
      <c r="H240" s="4"/>
      <c r="J240" s="4"/>
      <c r="N240" s="4"/>
      <c r="AA240" s="4"/>
    </row>
    <row r="241" ht="12.75" customHeight="1">
      <c r="C241" s="4"/>
      <c r="D241" s="4"/>
      <c r="H241" s="4"/>
      <c r="J241" s="4"/>
      <c r="N241" s="4"/>
      <c r="AA241" s="4"/>
    </row>
    <row r="242" ht="12.75" customHeight="1">
      <c r="C242" s="4"/>
      <c r="D242" s="4"/>
      <c r="H242" s="4"/>
      <c r="J242" s="4"/>
      <c r="N242" s="4"/>
      <c r="AA242" s="4"/>
    </row>
    <row r="243" ht="12.75" customHeight="1">
      <c r="C243" s="4"/>
      <c r="D243" s="4"/>
      <c r="H243" s="4"/>
      <c r="J243" s="4"/>
      <c r="N243" s="4"/>
      <c r="AA243" s="4"/>
    </row>
    <row r="244" ht="12.75" customHeight="1">
      <c r="C244" s="4"/>
      <c r="D244" s="4"/>
      <c r="H244" s="4"/>
      <c r="J244" s="4"/>
      <c r="N244" s="4"/>
      <c r="AA244" s="4"/>
    </row>
    <row r="245" ht="12.75" customHeight="1">
      <c r="C245" s="4"/>
      <c r="D245" s="4"/>
      <c r="H245" s="4"/>
      <c r="J245" s="4"/>
      <c r="N245" s="4"/>
      <c r="AA245" s="4"/>
    </row>
    <row r="246" ht="12.75" customHeight="1">
      <c r="C246" s="4"/>
      <c r="D246" s="4"/>
      <c r="H246" s="4"/>
      <c r="J246" s="4"/>
      <c r="N246" s="4"/>
      <c r="AA246" s="4"/>
    </row>
    <row r="247" ht="12.75" customHeight="1">
      <c r="C247" s="4"/>
      <c r="D247" s="4"/>
      <c r="H247" s="4"/>
      <c r="J247" s="4"/>
      <c r="N247" s="4"/>
      <c r="AA247" s="4"/>
    </row>
    <row r="248" ht="12.75" customHeight="1">
      <c r="C248" s="4"/>
      <c r="D248" s="4"/>
      <c r="H248" s="4"/>
      <c r="J248" s="4"/>
      <c r="N248" s="4"/>
      <c r="AA248" s="4"/>
    </row>
    <row r="249" ht="12.75" customHeight="1">
      <c r="C249" s="4"/>
      <c r="D249" s="4"/>
      <c r="H249" s="4"/>
      <c r="J249" s="4"/>
      <c r="N249" s="4"/>
      <c r="AA249" s="4"/>
    </row>
    <row r="250" ht="12.75" customHeight="1">
      <c r="C250" s="4"/>
      <c r="D250" s="4"/>
      <c r="H250" s="4"/>
      <c r="J250" s="4"/>
      <c r="N250" s="4"/>
      <c r="AA250" s="4"/>
    </row>
    <row r="251" ht="12.75" customHeight="1">
      <c r="C251" s="4"/>
      <c r="D251" s="4"/>
      <c r="H251" s="4"/>
      <c r="J251" s="4"/>
      <c r="N251" s="4"/>
      <c r="AA251" s="4"/>
    </row>
    <row r="252" ht="12.75" customHeight="1">
      <c r="C252" s="4"/>
      <c r="D252" s="4"/>
      <c r="H252" s="4"/>
      <c r="J252" s="4"/>
      <c r="N252" s="4"/>
      <c r="AA252" s="4"/>
    </row>
    <row r="253" ht="12.75" customHeight="1">
      <c r="C253" s="4"/>
      <c r="D253" s="4"/>
      <c r="H253" s="4"/>
      <c r="J253" s="4"/>
      <c r="N253" s="4"/>
      <c r="AA253" s="4"/>
    </row>
    <row r="254" ht="12.75" customHeight="1">
      <c r="C254" s="4"/>
      <c r="D254" s="4"/>
      <c r="H254" s="4"/>
      <c r="J254" s="4"/>
      <c r="N254" s="4"/>
      <c r="AA254" s="4"/>
    </row>
    <row r="255" ht="12.75" customHeight="1">
      <c r="C255" s="4"/>
      <c r="D255" s="4"/>
      <c r="H255" s="4"/>
      <c r="J255" s="4"/>
      <c r="N255" s="4"/>
      <c r="AA255" s="4"/>
    </row>
    <row r="256" ht="12.75" customHeight="1">
      <c r="C256" s="4"/>
      <c r="D256" s="4"/>
      <c r="H256" s="4"/>
      <c r="J256" s="4"/>
      <c r="N256" s="4"/>
      <c r="AA256" s="4"/>
    </row>
    <row r="257" ht="12.75" customHeight="1">
      <c r="C257" s="4"/>
      <c r="D257" s="4"/>
      <c r="H257" s="4"/>
      <c r="J257" s="4"/>
      <c r="N257" s="4"/>
      <c r="AA257" s="4"/>
    </row>
    <row r="258" ht="12.75" customHeight="1">
      <c r="C258" s="4"/>
      <c r="D258" s="4"/>
      <c r="H258" s="4"/>
      <c r="J258" s="4"/>
      <c r="N258" s="4"/>
      <c r="AA258" s="4"/>
    </row>
    <row r="259" ht="12.75" customHeight="1">
      <c r="C259" s="4"/>
      <c r="D259" s="4"/>
      <c r="H259" s="4"/>
      <c r="J259" s="4"/>
      <c r="N259" s="4"/>
      <c r="AA259" s="4"/>
    </row>
    <row r="260" ht="12.75" customHeight="1">
      <c r="C260" s="4"/>
      <c r="D260" s="4"/>
      <c r="H260" s="4"/>
      <c r="J260" s="4"/>
      <c r="N260" s="4"/>
      <c r="AA260" s="4"/>
    </row>
    <row r="261" ht="12.75" customHeight="1">
      <c r="C261" s="4"/>
      <c r="D261" s="4"/>
      <c r="H261" s="4"/>
      <c r="J261" s="4"/>
      <c r="N261" s="4"/>
      <c r="AA261" s="4"/>
    </row>
    <row r="262" ht="12.75" customHeight="1">
      <c r="C262" s="4"/>
      <c r="D262" s="4"/>
      <c r="H262" s="4"/>
      <c r="J262" s="4"/>
      <c r="N262" s="4"/>
      <c r="AA262" s="4"/>
    </row>
    <row r="263" ht="12.75" customHeight="1">
      <c r="C263" s="4"/>
      <c r="D263" s="4"/>
      <c r="H263" s="4"/>
      <c r="J263" s="4"/>
      <c r="N263" s="4"/>
      <c r="AA263" s="4"/>
    </row>
    <row r="264" ht="12.75" customHeight="1">
      <c r="C264" s="4"/>
      <c r="D264" s="4"/>
      <c r="H264" s="4"/>
      <c r="J264" s="4"/>
      <c r="N264" s="4"/>
      <c r="AA264" s="4"/>
    </row>
    <row r="265" ht="12.75" customHeight="1">
      <c r="C265" s="4"/>
      <c r="D265" s="4"/>
      <c r="H265" s="4"/>
      <c r="J265" s="4"/>
      <c r="N265" s="4"/>
      <c r="AA265" s="4"/>
    </row>
    <row r="266" ht="12.75" customHeight="1">
      <c r="C266" s="4"/>
      <c r="D266" s="4"/>
      <c r="H266" s="4"/>
      <c r="J266" s="4"/>
      <c r="N266" s="4"/>
      <c r="AA266" s="4"/>
    </row>
    <row r="267" ht="12.75" customHeight="1">
      <c r="C267" s="4"/>
      <c r="D267" s="4"/>
      <c r="H267" s="4"/>
      <c r="J267" s="4"/>
      <c r="N267" s="4"/>
      <c r="AA267" s="4"/>
    </row>
    <row r="268" ht="12.75" customHeight="1">
      <c r="C268" s="4"/>
      <c r="D268" s="4"/>
      <c r="H268" s="4"/>
      <c r="J268" s="4"/>
      <c r="N268" s="4"/>
      <c r="AA268" s="4"/>
    </row>
    <row r="269" ht="12.75" customHeight="1">
      <c r="C269" s="4"/>
      <c r="D269" s="4"/>
      <c r="H269" s="4"/>
      <c r="J269" s="4"/>
      <c r="N269" s="4"/>
      <c r="AA269" s="4"/>
    </row>
    <row r="270" ht="12.75" customHeight="1">
      <c r="C270" s="4"/>
      <c r="D270" s="4"/>
      <c r="H270" s="4"/>
      <c r="J270" s="4"/>
      <c r="N270" s="4"/>
      <c r="AA270" s="4"/>
    </row>
    <row r="271" ht="12.75" customHeight="1">
      <c r="C271" s="4"/>
      <c r="D271" s="4"/>
      <c r="H271" s="4"/>
      <c r="J271" s="4"/>
      <c r="N271" s="4"/>
      <c r="AA271" s="4"/>
    </row>
    <row r="272" ht="12.75" customHeight="1">
      <c r="C272" s="4"/>
      <c r="D272" s="4"/>
      <c r="H272" s="4"/>
      <c r="J272" s="4"/>
      <c r="N272" s="4"/>
      <c r="AA272" s="4"/>
    </row>
    <row r="273" ht="12.75" customHeight="1">
      <c r="C273" s="4"/>
      <c r="D273" s="4"/>
      <c r="H273" s="4"/>
      <c r="J273" s="4"/>
      <c r="N273" s="4"/>
      <c r="AA273" s="4"/>
    </row>
    <row r="274" ht="12.75" customHeight="1">
      <c r="C274" s="4"/>
      <c r="D274" s="4"/>
      <c r="H274" s="4"/>
      <c r="J274" s="4"/>
      <c r="N274" s="4"/>
      <c r="AA274" s="4"/>
    </row>
    <row r="275" ht="12.75" customHeight="1">
      <c r="C275" s="4"/>
      <c r="D275" s="4"/>
      <c r="H275" s="4"/>
      <c r="J275" s="4"/>
      <c r="N275" s="4"/>
      <c r="AA275" s="4"/>
    </row>
    <row r="276" ht="12.75" customHeight="1">
      <c r="C276" s="4"/>
      <c r="D276" s="4"/>
      <c r="H276" s="4"/>
      <c r="J276" s="4"/>
      <c r="N276" s="4"/>
      <c r="AA276" s="4"/>
    </row>
    <row r="277" ht="12.75" customHeight="1">
      <c r="C277" s="4"/>
      <c r="D277" s="4"/>
      <c r="H277" s="4"/>
      <c r="J277" s="4"/>
      <c r="N277" s="4"/>
      <c r="AA277" s="4"/>
    </row>
    <row r="278" ht="12.75" customHeight="1">
      <c r="C278" s="4"/>
      <c r="D278" s="4"/>
      <c r="H278" s="4"/>
      <c r="J278" s="4"/>
      <c r="N278" s="4"/>
      <c r="AA278" s="4"/>
    </row>
    <row r="279" ht="12.75" customHeight="1">
      <c r="C279" s="4"/>
      <c r="D279" s="4"/>
      <c r="H279" s="4"/>
      <c r="J279" s="4"/>
      <c r="N279" s="4"/>
      <c r="AA279" s="4"/>
    </row>
    <row r="280" ht="12.75" customHeight="1">
      <c r="C280" s="4"/>
      <c r="D280" s="4"/>
      <c r="H280" s="4"/>
      <c r="J280" s="4"/>
      <c r="N280" s="4"/>
      <c r="AA280" s="4"/>
    </row>
    <row r="281" ht="12.75" customHeight="1">
      <c r="C281" s="4"/>
      <c r="D281" s="4"/>
      <c r="H281" s="4"/>
      <c r="J281" s="4"/>
      <c r="N281" s="4"/>
      <c r="AA281" s="4"/>
    </row>
    <row r="282" ht="12.75" customHeight="1">
      <c r="C282" s="4"/>
      <c r="D282" s="4"/>
      <c r="H282" s="4"/>
      <c r="J282" s="4"/>
      <c r="N282" s="4"/>
      <c r="AA282" s="4"/>
    </row>
    <row r="283" ht="12.75" customHeight="1">
      <c r="C283" s="4"/>
      <c r="D283" s="4"/>
      <c r="H283" s="4"/>
      <c r="J283" s="4"/>
      <c r="N283" s="4"/>
      <c r="AA283" s="4"/>
    </row>
    <row r="284" ht="12.75" customHeight="1">
      <c r="C284" s="4"/>
      <c r="D284" s="4"/>
      <c r="H284" s="4"/>
      <c r="J284" s="4"/>
      <c r="N284" s="4"/>
      <c r="AA284" s="4"/>
    </row>
    <row r="285" ht="12.75" customHeight="1">
      <c r="C285" s="4"/>
      <c r="D285" s="4"/>
      <c r="H285" s="4"/>
      <c r="J285" s="4"/>
      <c r="N285" s="4"/>
      <c r="AA285" s="4"/>
    </row>
    <row r="286" ht="12.75" customHeight="1">
      <c r="C286" s="4"/>
      <c r="D286" s="4"/>
      <c r="H286" s="4"/>
      <c r="J286" s="4"/>
      <c r="N286" s="4"/>
      <c r="AA286" s="4"/>
    </row>
    <row r="287" ht="12.75" customHeight="1">
      <c r="C287" s="4"/>
      <c r="D287" s="4"/>
      <c r="H287" s="4"/>
      <c r="J287" s="4"/>
      <c r="N287" s="4"/>
      <c r="AA287" s="4"/>
    </row>
    <row r="288" ht="12.75" customHeight="1">
      <c r="C288" s="4"/>
      <c r="D288" s="4"/>
      <c r="H288" s="4"/>
      <c r="J288" s="4"/>
      <c r="N288" s="4"/>
      <c r="AA288" s="4"/>
    </row>
    <row r="289" ht="12.75" customHeight="1">
      <c r="C289" s="4"/>
      <c r="D289" s="4"/>
      <c r="H289" s="4"/>
      <c r="J289" s="4"/>
      <c r="N289" s="4"/>
      <c r="AA289" s="4"/>
    </row>
    <row r="290" ht="12.75" customHeight="1">
      <c r="C290" s="4"/>
      <c r="D290" s="4"/>
      <c r="H290" s="4"/>
      <c r="J290" s="4"/>
      <c r="N290" s="4"/>
      <c r="AA290" s="4"/>
    </row>
    <row r="291" ht="12.75" customHeight="1">
      <c r="C291" s="4"/>
      <c r="D291" s="4"/>
      <c r="H291" s="4"/>
      <c r="J291" s="4"/>
      <c r="N291" s="4"/>
      <c r="AA291" s="4"/>
    </row>
    <row r="292" ht="12.75" customHeight="1">
      <c r="C292" s="4"/>
      <c r="D292" s="4"/>
      <c r="H292" s="4"/>
      <c r="J292" s="4"/>
      <c r="N292" s="4"/>
      <c r="AA292" s="4"/>
    </row>
    <row r="293" ht="12.75" customHeight="1">
      <c r="C293" s="4"/>
      <c r="D293" s="4"/>
      <c r="H293" s="4"/>
      <c r="J293" s="4"/>
      <c r="N293" s="4"/>
      <c r="AA293" s="4"/>
    </row>
    <row r="294" ht="12.75" customHeight="1">
      <c r="C294" s="4"/>
      <c r="D294" s="4"/>
      <c r="H294" s="4"/>
      <c r="J294" s="4"/>
      <c r="N294" s="4"/>
      <c r="AA294" s="4"/>
    </row>
    <row r="295" ht="12.75" customHeight="1">
      <c r="C295" s="4"/>
      <c r="D295" s="4"/>
      <c r="H295" s="4"/>
      <c r="J295" s="4"/>
      <c r="N295" s="4"/>
      <c r="AA295" s="4"/>
    </row>
    <row r="296" ht="12.75" customHeight="1">
      <c r="C296" s="4"/>
      <c r="D296" s="4"/>
      <c r="H296" s="4"/>
      <c r="J296" s="4"/>
      <c r="N296" s="4"/>
      <c r="AA296" s="4"/>
    </row>
    <row r="297" ht="12.75" customHeight="1">
      <c r="C297" s="4"/>
      <c r="D297" s="4"/>
      <c r="H297" s="4"/>
      <c r="J297" s="4"/>
      <c r="N297" s="4"/>
      <c r="AA297" s="4"/>
    </row>
    <row r="298" ht="12.75" customHeight="1">
      <c r="C298" s="4"/>
      <c r="D298" s="4"/>
      <c r="H298" s="4"/>
      <c r="J298" s="4"/>
      <c r="N298" s="4"/>
      <c r="AA298" s="4"/>
    </row>
    <row r="299" ht="12.75" customHeight="1">
      <c r="C299" s="4"/>
      <c r="D299" s="4"/>
      <c r="H299" s="4"/>
      <c r="J299" s="4"/>
      <c r="N299" s="4"/>
      <c r="AA299" s="4"/>
    </row>
    <row r="300" ht="12.75" customHeight="1">
      <c r="C300" s="4"/>
      <c r="D300" s="4"/>
      <c r="H300" s="4"/>
      <c r="J300" s="4"/>
      <c r="N300" s="4"/>
      <c r="AA300" s="4"/>
    </row>
    <row r="301" ht="12.75" customHeight="1">
      <c r="C301" s="4"/>
      <c r="D301" s="4"/>
      <c r="H301" s="4"/>
      <c r="J301" s="4"/>
      <c r="N301" s="4"/>
      <c r="AA301" s="4"/>
    </row>
    <row r="302" ht="12.75" customHeight="1">
      <c r="C302" s="4"/>
      <c r="D302" s="4"/>
      <c r="H302" s="4"/>
      <c r="J302" s="4"/>
      <c r="N302" s="4"/>
      <c r="AA302" s="4"/>
    </row>
    <row r="303" ht="12.75" customHeight="1">
      <c r="C303" s="4"/>
      <c r="D303" s="4"/>
      <c r="H303" s="4"/>
      <c r="J303" s="4"/>
      <c r="N303" s="4"/>
      <c r="AA303" s="4"/>
    </row>
    <row r="304" ht="12.75" customHeight="1">
      <c r="C304" s="4"/>
      <c r="D304" s="4"/>
      <c r="H304" s="4"/>
      <c r="J304" s="4"/>
      <c r="N304" s="4"/>
      <c r="AA304" s="4"/>
    </row>
    <row r="305" ht="12.75" customHeight="1">
      <c r="C305" s="4"/>
      <c r="D305" s="4"/>
      <c r="H305" s="4"/>
      <c r="J305" s="4"/>
      <c r="N305" s="4"/>
      <c r="AA305" s="4"/>
    </row>
    <row r="306" ht="12.75" customHeight="1">
      <c r="C306" s="4"/>
      <c r="D306" s="4"/>
      <c r="H306" s="4"/>
      <c r="J306" s="4"/>
      <c r="N306" s="4"/>
      <c r="AA306" s="4"/>
    </row>
    <row r="307" ht="12.75" customHeight="1">
      <c r="C307" s="4"/>
      <c r="D307" s="4"/>
      <c r="H307" s="4"/>
      <c r="J307" s="4"/>
      <c r="N307" s="4"/>
      <c r="AA307" s="4"/>
    </row>
    <row r="308" ht="12.75" customHeight="1">
      <c r="C308" s="4"/>
      <c r="D308" s="4"/>
      <c r="H308" s="4"/>
      <c r="J308" s="4"/>
      <c r="N308" s="4"/>
      <c r="AA308" s="4"/>
    </row>
    <row r="309" ht="12.75" customHeight="1">
      <c r="C309" s="4"/>
      <c r="D309" s="4"/>
      <c r="H309" s="4"/>
      <c r="J309" s="4"/>
      <c r="N309" s="4"/>
      <c r="AA309" s="4"/>
    </row>
    <row r="310" ht="12.75" customHeight="1">
      <c r="C310" s="4"/>
      <c r="D310" s="4"/>
      <c r="H310" s="4"/>
      <c r="J310" s="4"/>
      <c r="N310" s="4"/>
      <c r="AA310" s="4"/>
    </row>
    <row r="311" ht="12.75" customHeight="1">
      <c r="C311" s="4"/>
      <c r="D311" s="4"/>
      <c r="H311" s="4"/>
      <c r="J311" s="4"/>
      <c r="N311" s="4"/>
      <c r="AA311" s="4"/>
    </row>
    <row r="312" ht="12.75" customHeight="1">
      <c r="C312" s="4"/>
      <c r="D312" s="4"/>
      <c r="H312" s="4"/>
      <c r="J312" s="4"/>
      <c r="N312" s="4"/>
      <c r="AA312" s="4"/>
    </row>
    <row r="313" ht="12.75" customHeight="1">
      <c r="C313" s="4"/>
      <c r="D313" s="4"/>
      <c r="H313" s="4"/>
      <c r="J313" s="4"/>
      <c r="N313" s="4"/>
      <c r="AA313" s="4"/>
    </row>
    <row r="314" ht="12.75" customHeight="1">
      <c r="C314" s="4"/>
      <c r="D314" s="4"/>
      <c r="H314" s="4"/>
      <c r="J314" s="4"/>
      <c r="N314" s="4"/>
      <c r="AA314" s="4"/>
    </row>
    <row r="315" ht="12.75" customHeight="1">
      <c r="C315" s="4"/>
      <c r="D315" s="4"/>
      <c r="H315" s="4"/>
      <c r="J315" s="4"/>
      <c r="N315" s="4"/>
      <c r="AA315" s="4"/>
    </row>
    <row r="316" ht="12.75" customHeight="1">
      <c r="C316" s="4"/>
      <c r="D316" s="4"/>
      <c r="H316" s="4"/>
      <c r="J316" s="4"/>
      <c r="N316" s="4"/>
      <c r="AA316" s="4"/>
    </row>
    <row r="317" ht="12.75" customHeight="1">
      <c r="C317" s="4"/>
      <c r="D317" s="4"/>
      <c r="H317" s="4"/>
      <c r="J317" s="4"/>
      <c r="N317" s="4"/>
      <c r="AA317" s="4"/>
    </row>
    <row r="318" ht="12.75" customHeight="1">
      <c r="C318" s="4"/>
      <c r="D318" s="4"/>
      <c r="H318" s="4"/>
      <c r="J318" s="4"/>
      <c r="N318" s="4"/>
      <c r="AA318" s="4"/>
    </row>
    <row r="319" ht="12.75" customHeight="1">
      <c r="C319" s="4"/>
      <c r="D319" s="4"/>
      <c r="H319" s="4"/>
      <c r="J319" s="4"/>
      <c r="N319" s="4"/>
      <c r="AA319" s="4"/>
    </row>
    <row r="320" ht="12.75" customHeight="1">
      <c r="C320" s="4"/>
      <c r="D320" s="4"/>
      <c r="H320" s="4"/>
      <c r="J320" s="4"/>
      <c r="N320" s="4"/>
      <c r="AA320" s="4"/>
    </row>
    <row r="321" ht="12.75" customHeight="1">
      <c r="C321" s="4"/>
      <c r="D321" s="4"/>
      <c r="H321" s="4"/>
      <c r="J321" s="4"/>
      <c r="N321" s="4"/>
      <c r="AA321" s="4"/>
    </row>
    <row r="322" ht="12.75" customHeight="1">
      <c r="C322" s="4"/>
      <c r="D322" s="4"/>
      <c r="H322" s="4"/>
      <c r="J322" s="4"/>
      <c r="N322" s="4"/>
      <c r="AA322" s="4"/>
    </row>
    <row r="323" ht="12.75" customHeight="1">
      <c r="C323" s="4"/>
      <c r="D323" s="4"/>
      <c r="H323" s="4"/>
      <c r="J323" s="4"/>
      <c r="N323" s="4"/>
      <c r="AA323" s="4"/>
    </row>
    <row r="324" ht="12.75" customHeight="1">
      <c r="C324" s="4"/>
      <c r="D324" s="4"/>
      <c r="H324" s="4"/>
      <c r="J324" s="4"/>
      <c r="N324" s="4"/>
      <c r="AA324" s="4"/>
    </row>
    <row r="325" ht="12.75" customHeight="1">
      <c r="C325" s="4"/>
      <c r="D325" s="4"/>
      <c r="H325" s="4"/>
      <c r="J325" s="4"/>
      <c r="N325" s="4"/>
      <c r="AA325" s="4"/>
    </row>
    <row r="326" ht="12.75" customHeight="1">
      <c r="C326" s="4"/>
      <c r="D326" s="4"/>
      <c r="H326" s="4"/>
      <c r="J326" s="4"/>
      <c r="N326" s="4"/>
      <c r="AA326" s="4"/>
    </row>
    <row r="327" ht="12.75" customHeight="1">
      <c r="C327" s="4"/>
      <c r="D327" s="4"/>
      <c r="H327" s="4"/>
      <c r="J327" s="4"/>
      <c r="N327" s="4"/>
      <c r="AA327" s="4"/>
    </row>
    <row r="328" ht="12.75" customHeight="1">
      <c r="C328" s="4"/>
      <c r="D328" s="4"/>
      <c r="H328" s="4"/>
      <c r="J328" s="4"/>
      <c r="N328" s="4"/>
      <c r="AA328" s="4"/>
    </row>
    <row r="329" ht="12.75" customHeight="1">
      <c r="C329" s="4"/>
      <c r="D329" s="4"/>
      <c r="H329" s="4"/>
      <c r="J329" s="4"/>
      <c r="N329" s="4"/>
      <c r="AA329" s="4"/>
    </row>
    <row r="330" ht="12.75" customHeight="1">
      <c r="C330" s="4"/>
      <c r="D330" s="4"/>
      <c r="H330" s="4"/>
      <c r="J330" s="4"/>
      <c r="N330" s="4"/>
      <c r="AA330" s="4"/>
    </row>
    <row r="331" ht="12.75" customHeight="1">
      <c r="C331" s="4"/>
      <c r="D331" s="4"/>
      <c r="H331" s="4"/>
      <c r="J331" s="4"/>
      <c r="N331" s="4"/>
      <c r="AA331" s="4"/>
    </row>
    <row r="332" ht="12.75" customHeight="1">
      <c r="C332" s="4"/>
      <c r="D332" s="4"/>
      <c r="H332" s="4"/>
      <c r="J332" s="4"/>
      <c r="N332" s="4"/>
      <c r="AA332" s="4"/>
    </row>
    <row r="333" ht="12.75" customHeight="1">
      <c r="C333" s="4"/>
      <c r="D333" s="4"/>
      <c r="H333" s="4"/>
      <c r="J333" s="4"/>
      <c r="N333" s="4"/>
      <c r="AA333" s="4"/>
    </row>
    <row r="334" ht="12.75" customHeight="1">
      <c r="C334" s="4"/>
      <c r="D334" s="4"/>
      <c r="H334" s="4"/>
      <c r="J334" s="4"/>
      <c r="N334" s="4"/>
      <c r="AA334" s="4"/>
    </row>
    <row r="335" ht="12.75" customHeight="1">
      <c r="C335" s="4"/>
      <c r="D335" s="4"/>
      <c r="H335" s="4"/>
      <c r="J335" s="4"/>
      <c r="N335" s="4"/>
      <c r="AA335" s="4"/>
    </row>
    <row r="336" ht="12.75" customHeight="1">
      <c r="C336" s="4"/>
      <c r="D336" s="4"/>
      <c r="H336" s="4"/>
      <c r="J336" s="4"/>
      <c r="N336" s="4"/>
      <c r="AA336" s="4"/>
    </row>
    <row r="337" ht="12.75" customHeight="1">
      <c r="C337" s="4"/>
      <c r="D337" s="4"/>
      <c r="H337" s="4"/>
      <c r="J337" s="4"/>
      <c r="N337" s="4"/>
      <c r="AA337" s="4"/>
    </row>
    <row r="338" ht="12.75" customHeight="1">
      <c r="C338" s="4"/>
      <c r="D338" s="4"/>
      <c r="H338" s="4"/>
      <c r="J338" s="4"/>
      <c r="N338" s="4"/>
      <c r="AA338" s="4"/>
    </row>
    <row r="339" ht="12.75" customHeight="1">
      <c r="C339" s="4"/>
      <c r="D339" s="4"/>
      <c r="H339" s="4"/>
      <c r="J339" s="4"/>
      <c r="N339" s="4"/>
      <c r="AA339" s="4"/>
    </row>
    <row r="340" ht="12.75" customHeight="1">
      <c r="C340" s="4"/>
      <c r="D340" s="4"/>
      <c r="H340" s="4"/>
      <c r="J340" s="4"/>
      <c r="N340" s="4"/>
      <c r="AA340" s="4"/>
    </row>
    <row r="341" ht="12.75" customHeight="1">
      <c r="C341" s="4"/>
      <c r="D341" s="4"/>
      <c r="H341" s="4"/>
      <c r="J341" s="4"/>
      <c r="N341" s="4"/>
      <c r="AA341" s="4"/>
    </row>
    <row r="342" ht="12.75" customHeight="1">
      <c r="C342" s="4"/>
      <c r="D342" s="4"/>
      <c r="H342" s="4"/>
      <c r="J342" s="4"/>
      <c r="N342" s="4"/>
      <c r="AA342" s="4"/>
    </row>
    <row r="343" ht="12.75" customHeight="1">
      <c r="C343" s="4"/>
      <c r="D343" s="4"/>
      <c r="H343" s="4"/>
      <c r="J343" s="4"/>
      <c r="N343" s="4"/>
      <c r="AA343" s="4"/>
    </row>
    <row r="344" ht="12.75" customHeight="1">
      <c r="C344" s="4"/>
      <c r="D344" s="4"/>
      <c r="H344" s="4"/>
      <c r="J344" s="4"/>
      <c r="N344" s="4"/>
      <c r="AA344" s="4"/>
    </row>
    <row r="345" ht="12.75" customHeight="1">
      <c r="C345" s="4"/>
      <c r="D345" s="4"/>
      <c r="H345" s="4"/>
      <c r="J345" s="4"/>
      <c r="N345" s="4"/>
      <c r="AA345" s="4"/>
    </row>
    <row r="346" ht="12.75" customHeight="1">
      <c r="C346" s="4"/>
      <c r="D346" s="4"/>
      <c r="H346" s="4"/>
      <c r="J346" s="4"/>
      <c r="N346" s="4"/>
      <c r="AA346" s="4"/>
    </row>
    <row r="347" ht="12.75" customHeight="1">
      <c r="C347" s="4"/>
      <c r="D347" s="4"/>
      <c r="H347" s="4"/>
      <c r="J347" s="4"/>
      <c r="N347" s="4"/>
      <c r="AA347" s="4"/>
    </row>
    <row r="348" ht="12.75" customHeight="1">
      <c r="C348" s="4"/>
      <c r="D348" s="4"/>
      <c r="H348" s="4"/>
      <c r="J348" s="4"/>
      <c r="N348" s="4"/>
      <c r="AA348" s="4"/>
    </row>
    <row r="349" ht="12.75" customHeight="1">
      <c r="C349" s="4"/>
      <c r="D349" s="4"/>
      <c r="H349" s="4"/>
      <c r="J349" s="4"/>
      <c r="N349" s="4"/>
      <c r="AA349" s="4"/>
    </row>
    <row r="350" ht="12.75" customHeight="1">
      <c r="C350" s="4"/>
      <c r="D350" s="4"/>
      <c r="H350" s="4"/>
      <c r="J350" s="4"/>
      <c r="N350" s="4"/>
      <c r="AA350" s="4"/>
    </row>
    <row r="351" ht="12.75" customHeight="1">
      <c r="C351" s="4"/>
      <c r="D351" s="4"/>
      <c r="H351" s="4"/>
      <c r="J351" s="4"/>
      <c r="N351" s="4"/>
      <c r="AA351" s="4"/>
    </row>
    <row r="352" ht="12.75" customHeight="1">
      <c r="C352" s="4"/>
      <c r="D352" s="4"/>
      <c r="H352" s="4"/>
      <c r="J352" s="4"/>
      <c r="N352" s="4"/>
      <c r="AA352" s="4"/>
    </row>
    <row r="353" ht="12.75" customHeight="1">
      <c r="C353" s="4"/>
      <c r="D353" s="4"/>
      <c r="H353" s="4"/>
      <c r="J353" s="4"/>
      <c r="N353" s="4"/>
      <c r="AA353" s="4"/>
    </row>
    <row r="354" ht="12.75" customHeight="1">
      <c r="C354" s="4"/>
      <c r="D354" s="4"/>
      <c r="H354" s="4"/>
      <c r="J354" s="4"/>
      <c r="N354" s="4"/>
      <c r="AA354" s="4"/>
    </row>
    <row r="355" ht="12.75" customHeight="1">
      <c r="C355" s="4"/>
      <c r="D355" s="4"/>
      <c r="H355" s="4"/>
      <c r="J355" s="4"/>
      <c r="N355" s="4"/>
      <c r="AA355" s="4"/>
    </row>
    <row r="356" ht="12.75" customHeight="1">
      <c r="C356" s="4"/>
      <c r="D356" s="4"/>
      <c r="H356" s="4"/>
      <c r="J356" s="4"/>
      <c r="N356" s="4"/>
      <c r="AA356" s="4"/>
    </row>
    <row r="357" ht="12.75" customHeight="1">
      <c r="C357" s="4"/>
      <c r="D357" s="4"/>
      <c r="H357" s="4"/>
      <c r="J357" s="4"/>
      <c r="N357" s="4"/>
      <c r="AA357" s="4"/>
    </row>
    <row r="358" ht="12.75" customHeight="1">
      <c r="C358" s="4"/>
      <c r="D358" s="4"/>
      <c r="H358" s="4"/>
      <c r="J358" s="4"/>
      <c r="N358" s="4"/>
      <c r="AA358" s="4"/>
    </row>
    <row r="359" ht="12.75" customHeight="1">
      <c r="C359" s="4"/>
      <c r="D359" s="4"/>
      <c r="H359" s="4"/>
      <c r="J359" s="4"/>
      <c r="N359" s="4"/>
      <c r="AA359" s="4"/>
    </row>
    <row r="360" ht="12.75" customHeight="1">
      <c r="C360" s="4"/>
      <c r="D360" s="4"/>
      <c r="H360" s="4"/>
      <c r="J360" s="4"/>
      <c r="N360" s="4"/>
      <c r="AA360" s="4"/>
    </row>
    <row r="361" ht="12.75" customHeight="1">
      <c r="C361" s="4"/>
      <c r="D361" s="4"/>
      <c r="H361" s="4"/>
      <c r="J361" s="4"/>
      <c r="N361" s="4"/>
      <c r="AA361" s="4"/>
    </row>
    <row r="362" ht="12.75" customHeight="1">
      <c r="C362" s="4"/>
      <c r="D362" s="4"/>
      <c r="H362" s="4"/>
      <c r="J362" s="4"/>
      <c r="N362" s="4"/>
      <c r="AA362" s="4"/>
    </row>
    <row r="363" ht="12.75" customHeight="1">
      <c r="C363" s="4"/>
      <c r="D363" s="4"/>
      <c r="H363" s="4"/>
      <c r="J363" s="4"/>
      <c r="N363" s="4"/>
      <c r="AA363" s="4"/>
    </row>
    <row r="364" ht="12.75" customHeight="1">
      <c r="C364" s="4"/>
      <c r="D364" s="4"/>
      <c r="H364" s="4"/>
      <c r="J364" s="4"/>
      <c r="N364" s="4"/>
      <c r="AA364" s="4"/>
    </row>
    <row r="365" ht="12.75" customHeight="1">
      <c r="C365" s="4"/>
      <c r="D365" s="4"/>
      <c r="H365" s="4"/>
      <c r="J365" s="4"/>
      <c r="N365" s="4"/>
      <c r="AA365" s="4"/>
    </row>
    <row r="366" ht="12.75" customHeight="1">
      <c r="C366" s="4"/>
      <c r="D366" s="4"/>
      <c r="H366" s="4"/>
      <c r="J366" s="4"/>
      <c r="N366" s="4"/>
      <c r="AA366" s="4"/>
    </row>
    <row r="367" ht="12.75" customHeight="1">
      <c r="C367" s="4"/>
      <c r="D367" s="4"/>
      <c r="H367" s="4"/>
      <c r="J367" s="4"/>
      <c r="N367" s="4"/>
      <c r="AA367" s="4"/>
    </row>
    <row r="368" ht="12.75" customHeight="1">
      <c r="C368" s="4"/>
      <c r="D368" s="4"/>
      <c r="H368" s="4"/>
      <c r="J368" s="4"/>
      <c r="N368" s="4"/>
      <c r="AA368" s="4"/>
    </row>
    <row r="369" ht="12.75" customHeight="1">
      <c r="C369" s="4"/>
      <c r="D369" s="4"/>
      <c r="H369" s="4"/>
      <c r="J369" s="4"/>
      <c r="N369" s="4"/>
      <c r="AA369" s="4"/>
    </row>
    <row r="370" ht="12.75" customHeight="1">
      <c r="C370" s="4"/>
      <c r="D370" s="4"/>
      <c r="H370" s="4"/>
      <c r="J370" s="4"/>
      <c r="N370" s="4"/>
      <c r="AA370" s="4"/>
    </row>
    <row r="371" ht="12.75" customHeight="1">
      <c r="C371" s="4"/>
      <c r="D371" s="4"/>
      <c r="H371" s="4"/>
      <c r="J371" s="4"/>
      <c r="N371" s="4"/>
      <c r="AA371" s="4"/>
    </row>
    <row r="372" ht="12.75" customHeight="1">
      <c r="C372" s="4"/>
      <c r="D372" s="4"/>
      <c r="H372" s="4"/>
      <c r="J372" s="4"/>
      <c r="N372" s="4"/>
      <c r="AA372" s="4"/>
    </row>
    <row r="373" ht="12.75" customHeight="1">
      <c r="C373" s="4"/>
      <c r="D373" s="4"/>
      <c r="H373" s="4"/>
      <c r="J373" s="4"/>
      <c r="N373" s="4"/>
      <c r="AA373" s="4"/>
    </row>
    <row r="374" ht="12.75" customHeight="1">
      <c r="C374" s="4"/>
      <c r="D374" s="4"/>
      <c r="H374" s="4"/>
      <c r="J374" s="4"/>
      <c r="N374" s="4"/>
      <c r="AA374" s="4"/>
    </row>
    <row r="375" ht="12.75" customHeight="1">
      <c r="C375" s="4"/>
      <c r="D375" s="4"/>
      <c r="H375" s="4"/>
      <c r="J375" s="4"/>
      <c r="N375" s="4"/>
      <c r="AA375" s="4"/>
    </row>
    <row r="376" ht="12.75" customHeight="1">
      <c r="C376" s="4"/>
      <c r="D376" s="4"/>
      <c r="H376" s="4"/>
      <c r="J376" s="4"/>
      <c r="N376" s="4"/>
      <c r="AA376" s="4"/>
    </row>
    <row r="377" ht="12.75" customHeight="1">
      <c r="C377" s="4"/>
      <c r="D377" s="4"/>
      <c r="H377" s="4"/>
      <c r="J377" s="4"/>
      <c r="N377" s="4"/>
      <c r="AA377" s="4"/>
    </row>
    <row r="378" ht="12.75" customHeight="1">
      <c r="C378" s="4"/>
      <c r="D378" s="4"/>
      <c r="H378" s="4"/>
      <c r="J378" s="4"/>
      <c r="N378" s="4"/>
      <c r="AA378" s="4"/>
    </row>
    <row r="379" ht="12.75" customHeight="1">
      <c r="C379" s="4"/>
      <c r="D379" s="4"/>
      <c r="H379" s="4"/>
      <c r="J379" s="4"/>
      <c r="N379" s="4"/>
      <c r="AA379" s="4"/>
    </row>
    <row r="380" ht="12.75" customHeight="1">
      <c r="C380" s="4"/>
      <c r="D380" s="4"/>
      <c r="H380" s="4"/>
      <c r="J380" s="4"/>
      <c r="N380" s="4"/>
      <c r="AA380" s="4"/>
    </row>
    <row r="381" ht="12.75" customHeight="1">
      <c r="C381" s="4"/>
      <c r="D381" s="4"/>
      <c r="H381" s="4"/>
      <c r="J381" s="4"/>
      <c r="N381" s="4"/>
      <c r="AA381" s="4"/>
    </row>
    <row r="382" ht="12.75" customHeight="1">
      <c r="C382" s="4"/>
      <c r="D382" s="4"/>
      <c r="H382" s="4"/>
      <c r="J382" s="4"/>
      <c r="N382" s="4"/>
      <c r="AA382" s="4"/>
    </row>
    <row r="383" ht="12.75" customHeight="1">
      <c r="C383" s="4"/>
      <c r="D383" s="4"/>
      <c r="H383" s="4"/>
      <c r="J383" s="4"/>
      <c r="N383" s="4"/>
      <c r="AA383" s="4"/>
    </row>
    <row r="384" ht="12.75" customHeight="1">
      <c r="C384" s="4"/>
      <c r="D384" s="4"/>
      <c r="H384" s="4"/>
      <c r="J384" s="4"/>
      <c r="N384" s="4"/>
      <c r="AA384" s="4"/>
    </row>
    <row r="385" ht="12.75" customHeight="1">
      <c r="C385" s="4"/>
      <c r="D385" s="4"/>
      <c r="H385" s="4"/>
      <c r="J385" s="4"/>
      <c r="N385" s="4"/>
      <c r="AA385" s="4"/>
    </row>
    <row r="386" ht="12.75" customHeight="1">
      <c r="C386" s="4"/>
      <c r="D386" s="4"/>
      <c r="H386" s="4"/>
      <c r="J386" s="4"/>
      <c r="N386" s="4"/>
      <c r="AA386" s="4"/>
    </row>
    <row r="387" ht="12.75" customHeight="1">
      <c r="C387" s="4"/>
      <c r="D387" s="4"/>
      <c r="H387" s="4"/>
      <c r="J387" s="4"/>
      <c r="N387" s="4"/>
      <c r="AA387" s="4"/>
    </row>
    <row r="388" ht="12.75" customHeight="1">
      <c r="C388" s="4"/>
      <c r="D388" s="4"/>
      <c r="H388" s="4"/>
      <c r="J388" s="4"/>
      <c r="N388" s="4"/>
      <c r="AA388" s="4"/>
    </row>
    <row r="389" ht="12.75" customHeight="1">
      <c r="C389" s="4"/>
      <c r="D389" s="4"/>
      <c r="H389" s="4"/>
      <c r="J389" s="4"/>
      <c r="N389" s="4"/>
      <c r="AA389" s="4"/>
    </row>
    <row r="390" ht="12.75" customHeight="1">
      <c r="C390" s="4"/>
      <c r="D390" s="4"/>
      <c r="H390" s="4"/>
      <c r="J390" s="4"/>
      <c r="N390" s="4"/>
      <c r="AA390" s="4"/>
    </row>
    <row r="391" ht="12.75" customHeight="1">
      <c r="C391" s="4"/>
      <c r="D391" s="4"/>
      <c r="H391" s="4"/>
      <c r="J391" s="4"/>
      <c r="N391" s="4"/>
      <c r="AA391" s="4"/>
    </row>
    <row r="392" ht="12.75" customHeight="1">
      <c r="C392" s="4"/>
      <c r="D392" s="4"/>
      <c r="H392" s="4"/>
      <c r="J392" s="4"/>
      <c r="N392" s="4"/>
      <c r="AA392" s="4"/>
    </row>
    <row r="393" ht="12.75" customHeight="1">
      <c r="C393" s="4"/>
      <c r="D393" s="4"/>
      <c r="H393" s="4"/>
      <c r="J393" s="4"/>
      <c r="N393" s="4"/>
      <c r="AA393" s="4"/>
    </row>
    <row r="394" ht="12.75" customHeight="1">
      <c r="C394" s="4"/>
      <c r="D394" s="4"/>
      <c r="H394" s="4"/>
      <c r="J394" s="4"/>
      <c r="N394" s="4"/>
      <c r="AA394" s="4"/>
    </row>
    <row r="395" ht="12.75" customHeight="1">
      <c r="C395" s="4"/>
      <c r="D395" s="4"/>
      <c r="H395" s="4"/>
      <c r="J395" s="4"/>
      <c r="N395" s="4"/>
      <c r="AA395" s="4"/>
    </row>
    <row r="396" ht="12.75" customHeight="1">
      <c r="C396" s="4"/>
      <c r="D396" s="4"/>
      <c r="H396" s="4"/>
      <c r="J396" s="4"/>
      <c r="N396" s="4"/>
      <c r="AA396" s="4"/>
    </row>
    <row r="397" ht="12.75" customHeight="1">
      <c r="C397" s="4"/>
      <c r="D397" s="4"/>
      <c r="H397" s="4"/>
      <c r="J397" s="4"/>
      <c r="N397" s="4"/>
      <c r="AA397" s="4"/>
    </row>
    <row r="398" ht="12.75" customHeight="1">
      <c r="C398" s="4"/>
      <c r="D398" s="4"/>
      <c r="H398" s="4"/>
      <c r="J398" s="4"/>
      <c r="N398" s="4"/>
      <c r="AA398" s="4"/>
    </row>
    <row r="399" ht="12.75" customHeight="1">
      <c r="C399" s="4"/>
      <c r="D399" s="4"/>
      <c r="H399" s="4"/>
      <c r="J399" s="4"/>
      <c r="N399" s="4"/>
      <c r="AA399" s="4"/>
    </row>
    <row r="400" ht="12.75" customHeight="1">
      <c r="C400" s="4"/>
      <c r="D400" s="4"/>
      <c r="H400" s="4"/>
      <c r="J400" s="4"/>
      <c r="N400" s="4"/>
      <c r="AA400" s="4"/>
    </row>
    <row r="401" ht="12.75" customHeight="1">
      <c r="C401" s="4"/>
      <c r="D401" s="4"/>
      <c r="H401" s="4"/>
      <c r="J401" s="4"/>
      <c r="N401" s="4"/>
      <c r="AA401" s="4"/>
    </row>
    <row r="402" ht="12.75" customHeight="1">
      <c r="C402" s="4"/>
      <c r="D402" s="4"/>
      <c r="H402" s="4"/>
      <c r="J402" s="4"/>
      <c r="N402" s="4"/>
      <c r="AA402" s="4"/>
    </row>
    <row r="403" ht="12.75" customHeight="1">
      <c r="C403" s="4"/>
      <c r="D403" s="4"/>
      <c r="H403" s="4"/>
      <c r="J403" s="4"/>
      <c r="N403" s="4"/>
      <c r="AA403" s="4"/>
    </row>
    <row r="404" ht="12.75" customHeight="1">
      <c r="C404" s="4"/>
      <c r="D404" s="4"/>
      <c r="H404" s="4"/>
      <c r="J404" s="4"/>
      <c r="N404" s="4"/>
      <c r="AA404" s="4"/>
    </row>
    <row r="405" ht="12.75" customHeight="1">
      <c r="C405" s="4"/>
      <c r="D405" s="4"/>
      <c r="H405" s="4"/>
      <c r="J405" s="4"/>
      <c r="N405" s="4"/>
      <c r="AA405" s="4"/>
    </row>
    <row r="406" ht="12.75" customHeight="1">
      <c r="C406" s="4"/>
      <c r="D406" s="4"/>
      <c r="H406" s="4"/>
      <c r="J406" s="4"/>
      <c r="N406" s="4"/>
      <c r="AA406" s="4"/>
    </row>
    <row r="407" ht="12.75" customHeight="1">
      <c r="C407" s="4"/>
      <c r="D407" s="4"/>
      <c r="H407" s="4"/>
      <c r="J407" s="4"/>
      <c r="N407" s="4"/>
      <c r="AA407" s="4"/>
    </row>
    <row r="408" ht="12.75" customHeight="1">
      <c r="C408" s="4"/>
      <c r="D408" s="4"/>
      <c r="H408" s="4"/>
      <c r="J408" s="4"/>
      <c r="N408" s="4"/>
      <c r="AA408" s="4"/>
    </row>
    <row r="409" ht="12.75" customHeight="1">
      <c r="C409" s="4"/>
      <c r="D409" s="4"/>
      <c r="H409" s="4"/>
      <c r="J409" s="4"/>
      <c r="N409" s="4"/>
      <c r="AA409" s="4"/>
    </row>
    <row r="410" ht="12.75" customHeight="1">
      <c r="C410" s="4"/>
      <c r="D410" s="4"/>
      <c r="H410" s="4"/>
      <c r="J410" s="4"/>
      <c r="N410" s="4"/>
      <c r="AA410" s="4"/>
    </row>
    <row r="411" ht="12.75" customHeight="1">
      <c r="C411" s="4"/>
      <c r="D411" s="4"/>
      <c r="H411" s="4"/>
      <c r="J411" s="4"/>
      <c r="N411" s="4"/>
      <c r="AA411" s="4"/>
    </row>
    <row r="412" ht="12.75" customHeight="1">
      <c r="C412" s="4"/>
      <c r="D412" s="4"/>
      <c r="H412" s="4"/>
      <c r="J412" s="4"/>
      <c r="N412" s="4"/>
      <c r="AA412" s="4"/>
    </row>
    <row r="413" ht="12.75" customHeight="1">
      <c r="C413" s="4"/>
      <c r="D413" s="4"/>
      <c r="H413" s="4"/>
      <c r="J413" s="4"/>
      <c r="N413" s="4"/>
      <c r="AA413" s="4"/>
    </row>
    <row r="414" ht="12.75" customHeight="1">
      <c r="C414" s="4"/>
      <c r="D414" s="4"/>
      <c r="H414" s="4"/>
      <c r="J414" s="4"/>
      <c r="N414" s="4"/>
      <c r="AA414" s="4"/>
    </row>
    <row r="415" ht="12.75" customHeight="1">
      <c r="C415" s="4"/>
      <c r="D415" s="4"/>
      <c r="H415" s="4"/>
      <c r="J415" s="4"/>
      <c r="N415" s="4"/>
      <c r="AA415" s="4"/>
    </row>
    <row r="416" ht="12.75" customHeight="1">
      <c r="C416" s="4"/>
      <c r="D416" s="4"/>
      <c r="H416" s="4"/>
      <c r="J416" s="4"/>
      <c r="N416" s="4"/>
      <c r="AA416" s="4"/>
    </row>
    <row r="417" ht="12.75" customHeight="1">
      <c r="C417" s="4"/>
      <c r="D417" s="4"/>
      <c r="H417" s="4"/>
      <c r="J417" s="4"/>
      <c r="N417" s="4"/>
      <c r="AA417" s="4"/>
    </row>
    <row r="418" ht="12.75" customHeight="1">
      <c r="C418" s="4"/>
      <c r="D418" s="4"/>
      <c r="H418" s="4"/>
      <c r="J418" s="4"/>
      <c r="N418" s="4"/>
      <c r="AA418" s="4"/>
    </row>
    <row r="419" ht="12.75" customHeight="1">
      <c r="C419" s="4"/>
      <c r="D419" s="4"/>
      <c r="H419" s="4"/>
      <c r="J419" s="4"/>
      <c r="N419" s="4"/>
      <c r="AA419" s="4"/>
    </row>
    <row r="420" ht="12.75" customHeight="1">
      <c r="C420" s="4"/>
      <c r="D420" s="4"/>
      <c r="H420" s="4"/>
      <c r="J420" s="4"/>
      <c r="N420" s="4"/>
      <c r="AA420" s="4"/>
    </row>
    <row r="421" ht="12.75" customHeight="1">
      <c r="C421" s="4"/>
      <c r="D421" s="4"/>
      <c r="H421" s="4"/>
      <c r="J421" s="4"/>
      <c r="N421" s="4"/>
      <c r="AA421" s="4"/>
    </row>
    <row r="422" ht="12.75" customHeight="1">
      <c r="C422" s="4"/>
      <c r="D422" s="4"/>
      <c r="H422" s="4"/>
      <c r="J422" s="4"/>
      <c r="N422" s="4"/>
      <c r="AA422" s="4"/>
    </row>
    <row r="423" ht="12.75" customHeight="1">
      <c r="C423" s="4"/>
      <c r="D423" s="4"/>
      <c r="H423" s="4"/>
      <c r="J423" s="4"/>
      <c r="N423" s="4"/>
      <c r="AA423" s="4"/>
    </row>
    <row r="424" ht="12.75" customHeight="1">
      <c r="C424" s="4"/>
      <c r="D424" s="4"/>
      <c r="H424" s="4"/>
      <c r="J424" s="4"/>
      <c r="N424" s="4"/>
      <c r="AA424" s="4"/>
    </row>
    <row r="425" ht="12.75" customHeight="1">
      <c r="C425" s="4"/>
      <c r="D425" s="4"/>
      <c r="H425" s="4"/>
      <c r="J425" s="4"/>
      <c r="N425" s="4"/>
      <c r="AA425" s="4"/>
    </row>
    <row r="426" ht="12.75" customHeight="1">
      <c r="C426" s="4"/>
      <c r="D426" s="4"/>
      <c r="H426" s="4"/>
      <c r="J426" s="4"/>
      <c r="N426" s="4"/>
      <c r="AA426" s="4"/>
    </row>
    <row r="427" ht="12.75" customHeight="1">
      <c r="C427" s="4"/>
      <c r="D427" s="4"/>
      <c r="H427" s="4"/>
      <c r="J427" s="4"/>
      <c r="N427" s="4"/>
      <c r="AA427" s="4"/>
    </row>
    <row r="428" ht="12.75" customHeight="1">
      <c r="C428" s="4"/>
      <c r="D428" s="4"/>
      <c r="H428" s="4"/>
      <c r="J428" s="4"/>
      <c r="N428" s="4"/>
      <c r="AA428" s="4"/>
    </row>
    <row r="429" ht="12.75" customHeight="1">
      <c r="C429" s="4"/>
      <c r="D429" s="4"/>
      <c r="H429" s="4"/>
      <c r="J429" s="4"/>
      <c r="N429" s="4"/>
      <c r="AA429" s="4"/>
    </row>
    <row r="430" ht="12.75" customHeight="1">
      <c r="C430" s="4"/>
      <c r="D430" s="4"/>
      <c r="H430" s="4"/>
      <c r="J430" s="4"/>
      <c r="N430" s="4"/>
      <c r="AA430" s="4"/>
    </row>
    <row r="431" ht="12.75" customHeight="1">
      <c r="C431" s="4"/>
      <c r="D431" s="4"/>
      <c r="H431" s="4"/>
      <c r="J431" s="4"/>
      <c r="N431" s="4"/>
      <c r="AA431" s="4"/>
    </row>
    <row r="432" ht="12.75" customHeight="1">
      <c r="C432" s="4"/>
      <c r="D432" s="4"/>
      <c r="H432" s="4"/>
      <c r="J432" s="4"/>
      <c r="N432" s="4"/>
      <c r="AA432" s="4"/>
    </row>
    <row r="433" ht="12.75" customHeight="1">
      <c r="C433" s="4"/>
      <c r="D433" s="4"/>
      <c r="H433" s="4"/>
      <c r="J433" s="4"/>
      <c r="N433" s="4"/>
      <c r="AA433" s="4"/>
    </row>
    <row r="434" ht="12.75" customHeight="1">
      <c r="C434" s="4"/>
      <c r="D434" s="4"/>
      <c r="H434" s="4"/>
      <c r="J434" s="4"/>
      <c r="N434" s="4"/>
      <c r="AA434" s="4"/>
    </row>
    <row r="435" ht="12.75" customHeight="1">
      <c r="C435" s="4"/>
      <c r="D435" s="4"/>
      <c r="H435" s="4"/>
      <c r="J435" s="4"/>
      <c r="N435" s="4"/>
      <c r="AA435" s="4"/>
    </row>
    <row r="436" ht="12.75" customHeight="1">
      <c r="C436" s="4"/>
      <c r="D436" s="4"/>
      <c r="H436" s="4"/>
      <c r="J436" s="4"/>
      <c r="N436" s="4"/>
      <c r="AA436" s="4"/>
    </row>
    <row r="437" ht="12.75" customHeight="1">
      <c r="C437" s="4"/>
      <c r="D437" s="4"/>
      <c r="H437" s="4"/>
      <c r="J437" s="4"/>
      <c r="N437" s="4"/>
      <c r="AA437" s="4"/>
    </row>
    <row r="438" ht="12.75" customHeight="1">
      <c r="C438" s="4"/>
      <c r="D438" s="4"/>
      <c r="H438" s="4"/>
      <c r="J438" s="4"/>
      <c r="N438" s="4"/>
      <c r="AA438" s="4"/>
    </row>
    <row r="439" ht="12.75" customHeight="1">
      <c r="C439" s="4"/>
      <c r="D439" s="4"/>
      <c r="H439" s="4"/>
      <c r="J439" s="4"/>
      <c r="N439" s="4"/>
      <c r="AA439" s="4"/>
    </row>
    <row r="440" ht="12.75" customHeight="1">
      <c r="C440" s="4"/>
      <c r="D440" s="4"/>
      <c r="H440" s="4"/>
      <c r="J440" s="4"/>
      <c r="N440" s="4"/>
      <c r="AA440" s="4"/>
    </row>
    <row r="441" ht="12.75" customHeight="1">
      <c r="C441" s="4"/>
      <c r="D441" s="4"/>
      <c r="H441" s="4"/>
      <c r="J441" s="4"/>
      <c r="N441" s="4"/>
      <c r="AA441" s="4"/>
    </row>
    <row r="442" ht="12.75" customHeight="1">
      <c r="C442" s="4"/>
      <c r="D442" s="4"/>
      <c r="H442" s="4"/>
      <c r="J442" s="4"/>
      <c r="N442" s="4"/>
      <c r="AA442" s="4"/>
    </row>
    <row r="443" ht="12.75" customHeight="1">
      <c r="C443" s="4"/>
      <c r="D443" s="4"/>
      <c r="H443" s="4"/>
      <c r="J443" s="4"/>
      <c r="N443" s="4"/>
      <c r="AA443" s="4"/>
    </row>
    <row r="444" ht="12.75" customHeight="1">
      <c r="C444" s="4"/>
      <c r="D444" s="4"/>
      <c r="H444" s="4"/>
      <c r="J444" s="4"/>
      <c r="N444" s="4"/>
      <c r="AA444" s="4"/>
    </row>
    <row r="445" ht="12.75" customHeight="1">
      <c r="C445" s="4"/>
      <c r="D445" s="4"/>
      <c r="H445" s="4"/>
      <c r="J445" s="4"/>
      <c r="N445" s="4"/>
      <c r="AA445" s="4"/>
    </row>
    <row r="446" ht="12.75" customHeight="1">
      <c r="C446" s="4"/>
      <c r="D446" s="4"/>
      <c r="H446" s="4"/>
      <c r="J446" s="4"/>
      <c r="N446" s="4"/>
      <c r="AA446" s="4"/>
    </row>
    <row r="447" ht="12.75" customHeight="1">
      <c r="C447" s="4"/>
      <c r="D447" s="4"/>
      <c r="H447" s="4"/>
      <c r="J447" s="4"/>
      <c r="N447" s="4"/>
      <c r="AA447" s="4"/>
    </row>
    <row r="448" ht="12.75" customHeight="1">
      <c r="C448" s="4"/>
      <c r="D448" s="4"/>
      <c r="H448" s="4"/>
      <c r="J448" s="4"/>
      <c r="N448" s="4"/>
      <c r="AA448" s="4"/>
    </row>
    <row r="449" ht="12.75" customHeight="1">
      <c r="C449" s="4"/>
      <c r="D449" s="4"/>
      <c r="H449" s="4"/>
      <c r="J449" s="4"/>
      <c r="N449" s="4"/>
      <c r="AA449" s="4"/>
    </row>
    <row r="450" ht="12.75" customHeight="1">
      <c r="C450" s="4"/>
      <c r="D450" s="4"/>
      <c r="H450" s="4"/>
      <c r="J450" s="4"/>
      <c r="N450" s="4"/>
      <c r="AA450" s="4"/>
    </row>
    <row r="451" ht="12.75" customHeight="1">
      <c r="C451" s="4"/>
      <c r="D451" s="4"/>
      <c r="H451" s="4"/>
      <c r="J451" s="4"/>
      <c r="N451" s="4"/>
      <c r="AA451" s="4"/>
    </row>
    <row r="452" ht="12.75" customHeight="1">
      <c r="C452" s="4"/>
      <c r="D452" s="4"/>
      <c r="H452" s="4"/>
      <c r="J452" s="4"/>
      <c r="N452" s="4"/>
      <c r="AA452" s="4"/>
    </row>
    <row r="453" ht="12.75" customHeight="1">
      <c r="C453" s="4"/>
      <c r="D453" s="4"/>
      <c r="H453" s="4"/>
      <c r="J453" s="4"/>
      <c r="N453" s="4"/>
      <c r="AA453" s="4"/>
    </row>
    <row r="454" ht="12.75" customHeight="1">
      <c r="C454" s="4"/>
      <c r="D454" s="4"/>
      <c r="H454" s="4"/>
      <c r="J454" s="4"/>
      <c r="N454" s="4"/>
      <c r="AA454" s="4"/>
    </row>
    <row r="455" ht="12.75" customHeight="1">
      <c r="C455" s="4"/>
      <c r="D455" s="4"/>
      <c r="H455" s="4"/>
      <c r="J455" s="4"/>
      <c r="N455" s="4"/>
      <c r="AA455" s="4"/>
    </row>
    <row r="456" ht="12.75" customHeight="1">
      <c r="C456" s="4"/>
      <c r="D456" s="4"/>
      <c r="H456" s="4"/>
      <c r="J456" s="4"/>
      <c r="N456" s="4"/>
      <c r="AA456" s="4"/>
    </row>
    <row r="457" ht="12.75" customHeight="1">
      <c r="C457" s="4"/>
      <c r="D457" s="4"/>
      <c r="H457" s="4"/>
      <c r="J457" s="4"/>
      <c r="N457" s="4"/>
      <c r="AA457" s="4"/>
    </row>
    <row r="458" ht="12.75" customHeight="1">
      <c r="C458" s="4"/>
      <c r="D458" s="4"/>
      <c r="H458" s="4"/>
      <c r="J458" s="4"/>
      <c r="N458" s="4"/>
      <c r="AA458" s="4"/>
    </row>
    <row r="459" ht="12.75" customHeight="1">
      <c r="C459" s="4"/>
      <c r="D459" s="4"/>
      <c r="H459" s="4"/>
      <c r="J459" s="4"/>
      <c r="N459" s="4"/>
      <c r="AA459" s="4"/>
    </row>
    <row r="460" ht="12.75" customHeight="1">
      <c r="C460" s="4"/>
      <c r="D460" s="4"/>
      <c r="H460" s="4"/>
      <c r="J460" s="4"/>
      <c r="N460" s="4"/>
      <c r="AA460" s="4"/>
    </row>
    <row r="461" ht="12.75" customHeight="1">
      <c r="C461" s="4"/>
      <c r="D461" s="4"/>
      <c r="H461" s="4"/>
      <c r="J461" s="4"/>
      <c r="N461" s="4"/>
      <c r="AA461" s="4"/>
    </row>
    <row r="462" ht="12.75" customHeight="1">
      <c r="C462" s="4"/>
      <c r="D462" s="4"/>
      <c r="H462" s="4"/>
      <c r="J462" s="4"/>
      <c r="N462" s="4"/>
      <c r="AA462" s="4"/>
    </row>
    <row r="463" ht="12.75" customHeight="1">
      <c r="C463" s="4"/>
      <c r="D463" s="4"/>
      <c r="H463" s="4"/>
      <c r="J463" s="4"/>
      <c r="N463" s="4"/>
      <c r="AA463" s="4"/>
    </row>
    <row r="464" ht="12.75" customHeight="1">
      <c r="C464" s="4"/>
      <c r="D464" s="4"/>
      <c r="H464" s="4"/>
      <c r="J464" s="4"/>
      <c r="N464" s="4"/>
      <c r="AA464" s="4"/>
    </row>
    <row r="465" ht="12.75" customHeight="1">
      <c r="C465" s="4"/>
      <c r="D465" s="4"/>
      <c r="H465" s="4"/>
      <c r="J465" s="4"/>
      <c r="N465" s="4"/>
      <c r="AA465" s="4"/>
    </row>
    <row r="466" ht="12.75" customHeight="1">
      <c r="C466" s="4"/>
      <c r="D466" s="4"/>
      <c r="H466" s="4"/>
      <c r="J466" s="4"/>
      <c r="N466" s="4"/>
      <c r="AA466" s="4"/>
    </row>
    <row r="467" ht="12.75" customHeight="1">
      <c r="C467" s="4"/>
      <c r="D467" s="4"/>
      <c r="H467" s="4"/>
      <c r="J467" s="4"/>
      <c r="N467" s="4"/>
      <c r="AA467" s="4"/>
    </row>
    <row r="468" ht="12.75" customHeight="1">
      <c r="C468" s="4"/>
      <c r="D468" s="4"/>
      <c r="H468" s="4"/>
      <c r="J468" s="4"/>
      <c r="N468" s="4"/>
      <c r="AA468" s="4"/>
    </row>
    <row r="469" ht="12.75" customHeight="1">
      <c r="C469" s="4"/>
      <c r="D469" s="4"/>
      <c r="H469" s="4"/>
      <c r="J469" s="4"/>
      <c r="N469" s="4"/>
      <c r="AA469" s="4"/>
    </row>
    <row r="470" ht="12.75" customHeight="1">
      <c r="C470" s="4"/>
      <c r="D470" s="4"/>
      <c r="H470" s="4"/>
      <c r="J470" s="4"/>
      <c r="N470" s="4"/>
      <c r="AA470" s="4"/>
    </row>
    <row r="471" ht="12.75" customHeight="1">
      <c r="C471" s="4"/>
      <c r="D471" s="4"/>
      <c r="H471" s="4"/>
      <c r="J471" s="4"/>
      <c r="N471" s="4"/>
      <c r="AA471" s="4"/>
    </row>
    <row r="472" ht="12.75" customHeight="1">
      <c r="C472" s="4"/>
      <c r="D472" s="4"/>
      <c r="H472" s="4"/>
      <c r="J472" s="4"/>
      <c r="N472" s="4"/>
      <c r="AA472" s="4"/>
    </row>
    <row r="473" ht="12.75" customHeight="1">
      <c r="C473" s="4"/>
      <c r="D473" s="4"/>
      <c r="H473" s="4"/>
      <c r="J473" s="4"/>
      <c r="N473" s="4"/>
      <c r="AA473" s="4"/>
    </row>
    <row r="474" ht="12.75" customHeight="1">
      <c r="C474" s="4"/>
      <c r="D474" s="4"/>
      <c r="H474" s="4"/>
      <c r="J474" s="4"/>
      <c r="N474" s="4"/>
      <c r="AA474" s="4"/>
    </row>
    <row r="475" ht="12.75" customHeight="1">
      <c r="C475" s="4"/>
      <c r="D475" s="4"/>
      <c r="H475" s="4"/>
      <c r="J475" s="4"/>
      <c r="N475" s="4"/>
      <c r="AA475" s="4"/>
    </row>
    <row r="476" ht="12.75" customHeight="1">
      <c r="C476" s="4"/>
      <c r="D476" s="4"/>
      <c r="H476" s="4"/>
      <c r="J476" s="4"/>
      <c r="N476" s="4"/>
      <c r="AA476" s="4"/>
    </row>
    <row r="477" ht="12.75" customHeight="1">
      <c r="C477" s="4"/>
      <c r="D477" s="4"/>
      <c r="H477" s="4"/>
      <c r="J477" s="4"/>
      <c r="N477" s="4"/>
      <c r="AA477" s="4"/>
    </row>
    <row r="478" ht="12.75" customHeight="1">
      <c r="C478" s="4"/>
      <c r="D478" s="4"/>
      <c r="H478" s="4"/>
      <c r="J478" s="4"/>
      <c r="N478" s="4"/>
      <c r="AA478" s="4"/>
    </row>
    <row r="479" ht="12.75" customHeight="1">
      <c r="C479" s="4"/>
      <c r="D479" s="4"/>
      <c r="H479" s="4"/>
      <c r="J479" s="4"/>
      <c r="N479" s="4"/>
      <c r="AA479" s="4"/>
    </row>
    <row r="480" ht="12.75" customHeight="1">
      <c r="C480" s="4"/>
      <c r="D480" s="4"/>
      <c r="H480" s="4"/>
      <c r="J480" s="4"/>
      <c r="N480" s="4"/>
      <c r="AA480" s="4"/>
    </row>
    <row r="481" ht="12.75" customHeight="1">
      <c r="C481" s="4"/>
      <c r="D481" s="4"/>
      <c r="H481" s="4"/>
      <c r="J481" s="4"/>
      <c r="N481" s="4"/>
      <c r="AA481" s="4"/>
    </row>
    <row r="482" ht="12.75" customHeight="1">
      <c r="C482" s="4"/>
      <c r="D482" s="4"/>
      <c r="H482" s="4"/>
      <c r="J482" s="4"/>
      <c r="N482" s="4"/>
      <c r="AA482" s="4"/>
    </row>
    <row r="483" ht="12.75" customHeight="1">
      <c r="C483" s="4"/>
      <c r="D483" s="4"/>
      <c r="H483" s="4"/>
      <c r="J483" s="4"/>
      <c r="N483" s="4"/>
      <c r="AA483" s="4"/>
    </row>
    <row r="484" ht="12.75" customHeight="1">
      <c r="C484" s="4"/>
      <c r="D484" s="4"/>
      <c r="H484" s="4"/>
      <c r="J484" s="4"/>
      <c r="N484" s="4"/>
      <c r="AA484" s="4"/>
    </row>
    <row r="485" ht="12.75" customHeight="1">
      <c r="C485" s="4"/>
      <c r="D485" s="4"/>
      <c r="H485" s="4"/>
      <c r="J485" s="4"/>
      <c r="N485" s="4"/>
      <c r="AA485" s="4"/>
    </row>
    <row r="486" ht="12.75" customHeight="1">
      <c r="C486" s="4"/>
      <c r="D486" s="4"/>
      <c r="H486" s="4"/>
      <c r="J486" s="4"/>
      <c r="N486" s="4"/>
      <c r="AA486" s="4"/>
    </row>
    <row r="487" ht="12.75" customHeight="1">
      <c r="C487" s="4"/>
      <c r="D487" s="4"/>
      <c r="H487" s="4"/>
      <c r="J487" s="4"/>
      <c r="N487" s="4"/>
      <c r="AA487" s="4"/>
    </row>
    <row r="488" ht="12.75" customHeight="1">
      <c r="C488" s="4"/>
      <c r="D488" s="4"/>
      <c r="H488" s="4"/>
      <c r="J488" s="4"/>
      <c r="N488" s="4"/>
      <c r="AA488" s="4"/>
    </row>
    <row r="489" ht="12.75" customHeight="1">
      <c r="C489" s="4"/>
      <c r="D489" s="4"/>
      <c r="H489" s="4"/>
      <c r="J489" s="4"/>
      <c r="N489" s="4"/>
      <c r="AA489" s="4"/>
    </row>
    <row r="490" ht="12.75" customHeight="1">
      <c r="C490" s="4"/>
      <c r="D490" s="4"/>
      <c r="H490" s="4"/>
      <c r="J490" s="4"/>
      <c r="N490" s="4"/>
      <c r="AA490" s="4"/>
    </row>
    <row r="491" ht="12.75" customHeight="1">
      <c r="C491" s="4"/>
      <c r="D491" s="4"/>
      <c r="H491" s="4"/>
      <c r="J491" s="4"/>
      <c r="N491" s="4"/>
      <c r="AA491" s="4"/>
    </row>
    <row r="492" ht="12.75" customHeight="1">
      <c r="C492" s="4"/>
      <c r="D492" s="4"/>
      <c r="H492" s="4"/>
      <c r="J492" s="4"/>
      <c r="N492" s="4"/>
      <c r="AA492" s="4"/>
    </row>
    <row r="493" ht="12.75" customHeight="1">
      <c r="C493" s="4"/>
      <c r="D493" s="4"/>
      <c r="H493" s="4"/>
      <c r="J493" s="4"/>
      <c r="N493" s="4"/>
      <c r="AA493" s="4"/>
    </row>
    <row r="494" ht="12.75" customHeight="1">
      <c r="C494" s="4"/>
      <c r="D494" s="4"/>
      <c r="H494" s="4"/>
      <c r="J494" s="4"/>
      <c r="N494" s="4"/>
      <c r="AA494" s="4"/>
    </row>
    <row r="495" ht="12.75" customHeight="1">
      <c r="C495" s="4"/>
      <c r="D495" s="4"/>
      <c r="H495" s="4"/>
      <c r="J495" s="4"/>
      <c r="N495" s="4"/>
      <c r="AA495" s="4"/>
    </row>
    <row r="496" ht="12.75" customHeight="1">
      <c r="C496" s="4"/>
      <c r="D496" s="4"/>
      <c r="H496" s="4"/>
      <c r="J496" s="4"/>
      <c r="N496" s="4"/>
      <c r="AA496" s="4"/>
    </row>
    <row r="497" ht="12.75" customHeight="1">
      <c r="C497" s="4"/>
      <c r="D497" s="4"/>
      <c r="H497" s="4"/>
      <c r="J497" s="4"/>
      <c r="N497" s="4"/>
      <c r="AA497" s="4"/>
    </row>
    <row r="498" ht="12.75" customHeight="1">
      <c r="C498" s="4"/>
      <c r="D498" s="4"/>
      <c r="H498" s="4"/>
      <c r="J498" s="4"/>
      <c r="N498" s="4"/>
      <c r="AA498" s="4"/>
    </row>
    <row r="499" ht="12.75" customHeight="1">
      <c r="C499" s="4"/>
      <c r="D499" s="4"/>
      <c r="H499" s="4"/>
      <c r="J499" s="4"/>
      <c r="N499" s="4"/>
      <c r="AA499" s="4"/>
    </row>
    <row r="500" ht="12.75" customHeight="1">
      <c r="C500" s="4"/>
      <c r="D500" s="4"/>
      <c r="H500" s="4"/>
      <c r="J500" s="4"/>
      <c r="N500" s="4"/>
      <c r="AA500" s="4"/>
    </row>
    <row r="501" ht="12.75" customHeight="1">
      <c r="C501" s="4"/>
      <c r="D501" s="4"/>
      <c r="H501" s="4"/>
      <c r="J501" s="4"/>
      <c r="N501" s="4"/>
      <c r="AA501" s="4"/>
    </row>
    <row r="502" ht="12.75" customHeight="1">
      <c r="C502" s="4"/>
      <c r="D502" s="4"/>
      <c r="H502" s="4"/>
      <c r="J502" s="4"/>
      <c r="N502" s="4"/>
      <c r="AA502" s="4"/>
    </row>
    <row r="503" ht="12.75" customHeight="1">
      <c r="C503" s="4"/>
      <c r="D503" s="4"/>
      <c r="H503" s="4"/>
      <c r="J503" s="4"/>
      <c r="N503" s="4"/>
      <c r="AA503" s="4"/>
    </row>
    <row r="504" ht="12.75" customHeight="1">
      <c r="C504" s="4"/>
      <c r="D504" s="4"/>
      <c r="H504" s="4"/>
      <c r="J504" s="4"/>
      <c r="N504" s="4"/>
      <c r="AA504" s="4"/>
    </row>
    <row r="505" ht="12.75" customHeight="1">
      <c r="C505" s="4"/>
      <c r="D505" s="4"/>
      <c r="H505" s="4"/>
      <c r="J505" s="4"/>
      <c r="N505" s="4"/>
      <c r="AA505" s="4"/>
    </row>
    <row r="506" ht="12.75" customHeight="1">
      <c r="C506" s="4"/>
      <c r="D506" s="4"/>
      <c r="H506" s="4"/>
      <c r="J506" s="4"/>
      <c r="N506" s="4"/>
      <c r="AA506" s="4"/>
    </row>
    <row r="507" ht="12.75" customHeight="1">
      <c r="C507" s="4"/>
      <c r="D507" s="4"/>
      <c r="H507" s="4"/>
      <c r="J507" s="4"/>
      <c r="N507" s="4"/>
      <c r="AA507" s="4"/>
    </row>
    <row r="508" ht="12.75" customHeight="1">
      <c r="C508" s="4"/>
      <c r="D508" s="4"/>
      <c r="H508" s="4"/>
      <c r="J508" s="4"/>
      <c r="N508" s="4"/>
      <c r="AA508" s="4"/>
    </row>
    <row r="509" ht="12.75" customHeight="1">
      <c r="C509" s="4"/>
      <c r="D509" s="4"/>
      <c r="H509" s="4"/>
      <c r="J509" s="4"/>
      <c r="N509" s="4"/>
      <c r="AA509" s="4"/>
    </row>
    <row r="510" ht="12.75" customHeight="1">
      <c r="C510" s="4"/>
      <c r="D510" s="4"/>
      <c r="H510" s="4"/>
      <c r="J510" s="4"/>
      <c r="N510" s="4"/>
      <c r="AA510" s="4"/>
    </row>
    <row r="511" ht="12.75" customHeight="1">
      <c r="C511" s="4"/>
      <c r="D511" s="4"/>
      <c r="H511" s="4"/>
      <c r="J511" s="4"/>
      <c r="N511" s="4"/>
      <c r="AA511" s="4"/>
    </row>
    <row r="512" ht="12.75" customHeight="1">
      <c r="C512" s="4"/>
      <c r="D512" s="4"/>
      <c r="H512" s="4"/>
      <c r="J512" s="4"/>
      <c r="N512" s="4"/>
      <c r="AA512" s="4"/>
    </row>
    <row r="513" ht="12.75" customHeight="1">
      <c r="C513" s="4"/>
      <c r="D513" s="4"/>
      <c r="H513" s="4"/>
      <c r="J513" s="4"/>
      <c r="N513" s="4"/>
      <c r="AA513" s="4"/>
    </row>
    <row r="514" ht="12.75" customHeight="1">
      <c r="C514" s="4"/>
      <c r="D514" s="4"/>
      <c r="H514" s="4"/>
      <c r="J514" s="4"/>
      <c r="N514" s="4"/>
      <c r="AA514" s="4"/>
    </row>
    <row r="515" ht="12.75" customHeight="1">
      <c r="C515" s="4"/>
      <c r="D515" s="4"/>
      <c r="H515" s="4"/>
      <c r="J515" s="4"/>
      <c r="N515" s="4"/>
      <c r="AA515" s="4"/>
    </row>
    <row r="516" ht="12.75" customHeight="1">
      <c r="C516" s="4"/>
      <c r="D516" s="4"/>
      <c r="H516" s="4"/>
      <c r="J516" s="4"/>
      <c r="N516" s="4"/>
      <c r="AA516" s="4"/>
    </row>
    <row r="517" ht="12.75" customHeight="1">
      <c r="C517" s="4"/>
      <c r="D517" s="4"/>
      <c r="H517" s="4"/>
      <c r="J517" s="4"/>
      <c r="N517" s="4"/>
      <c r="AA517" s="4"/>
    </row>
    <row r="518" ht="12.75" customHeight="1">
      <c r="C518" s="4"/>
      <c r="D518" s="4"/>
      <c r="H518" s="4"/>
      <c r="J518" s="4"/>
      <c r="N518" s="4"/>
      <c r="AA518" s="4"/>
    </row>
    <row r="519" ht="12.75" customHeight="1">
      <c r="C519" s="4"/>
      <c r="D519" s="4"/>
      <c r="H519" s="4"/>
      <c r="J519" s="4"/>
      <c r="N519" s="4"/>
      <c r="AA519" s="4"/>
    </row>
    <row r="520" ht="12.75" customHeight="1">
      <c r="C520" s="4"/>
      <c r="D520" s="4"/>
      <c r="H520" s="4"/>
      <c r="J520" s="4"/>
      <c r="N520" s="4"/>
      <c r="AA520" s="4"/>
    </row>
    <row r="521" ht="12.75" customHeight="1">
      <c r="C521" s="4"/>
      <c r="D521" s="4"/>
      <c r="H521" s="4"/>
      <c r="J521" s="4"/>
      <c r="N521" s="4"/>
      <c r="AA521" s="4"/>
    </row>
    <row r="522" ht="12.75" customHeight="1">
      <c r="C522" s="4"/>
      <c r="D522" s="4"/>
      <c r="H522" s="4"/>
      <c r="J522" s="4"/>
      <c r="N522" s="4"/>
      <c r="AA522" s="4"/>
    </row>
    <row r="523" ht="12.75" customHeight="1">
      <c r="C523" s="4"/>
      <c r="D523" s="4"/>
      <c r="H523" s="4"/>
      <c r="J523" s="4"/>
      <c r="N523" s="4"/>
      <c r="AA523" s="4"/>
    </row>
    <row r="524" ht="12.75" customHeight="1">
      <c r="C524" s="4"/>
      <c r="D524" s="4"/>
      <c r="H524" s="4"/>
      <c r="J524" s="4"/>
      <c r="N524" s="4"/>
      <c r="AA524" s="4"/>
    </row>
    <row r="525" ht="12.75" customHeight="1">
      <c r="C525" s="4"/>
      <c r="D525" s="4"/>
      <c r="H525" s="4"/>
      <c r="J525" s="4"/>
      <c r="N525" s="4"/>
      <c r="AA525" s="4"/>
    </row>
    <row r="526" ht="12.75" customHeight="1">
      <c r="C526" s="4"/>
      <c r="D526" s="4"/>
      <c r="H526" s="4"/>
      <c r="J526" s="4"/>
      <c r="N526" s="4"/>
      <c r="AA526" s="4"/>
    </row>
    <row r="527" ht="12.75" customHeight="1">
      <c r="C527" s="4"/>
      <c r="D527" s="4"/>
      <c r="H527" s="4"/>
      <c r="J527" s="4"/>
      <c r="N527" s="4"/>
      <c r="AA527" s="4"/>
    </row>
    <row r="528" ht="12.75" customHeight="1">
      <c r="C528" s="4"/>
      <c r="D528" s="4"/>
      <c r="H528" s="4"/>
      <c r="J528" s="4"/>
      <c r="N528" s="4"/>
      <c r="AA528" s="4"/>
    </row>
    <row r="529" ht="12.75" customHeight="1">
      <c r="C529" s="4"/>
      <c r="D529" s="4"/>
      <c r="H529" s="4"/>
      <c r="J529" s="4"/>
      <c r="N529" s="4"/>
      <c r="AA529" s="4"/>
    </row>
    <row r="530" ht="12.75" customHeight="1">
      <c r="C530" s="4"/>
      <c r="D530" s="4"/>
      <c r="H530" s="4"/>
      <c r="J530" s="4"/>
      <c r="N530" s="4"/>
      <c r="AA530" s="4"/>
    </row>
    <row r="531" ht="12.75" customHeight="1">
      <c r="C531" s="4"/>
      <c r="D531" s="4"/>
      <c r="H531" s="4"/>
      <c r="J531" s="4"/>
      <c r="N531" s="4"/>
      <c r="AA531" s="4"/>
    </row>
    <row r="532" ht="12.75" customHeight="1">
      <c r="C532" s="4"/>
      <c r="D532" s="4"/>
      <c r="H532" s="4"/>
      <c r="J532" s="4"/>
      <c r="N532" s="4"/>
      <c r="AA532" s="4"/>
    </row>
    <row r="533" ht="12.75" customHeight="1">
      <c r="C533" s="4"/>
      <c r="D533" s="4"/>
      <c r="H533" s="4"/>
      <c r="J533" s="4"/>
      <c r="N533" s="4"/>
      <c r="AA533" s="4"/>
    </row>
    <row r="534" ht="12.75" customHeight="1">
      <c r="C534" s="4"/>
      <c r="D534" s="4"/>
      <c r="H534" s="4"/>
      <c r="J534" s="4"/>
      <c r="N534" s="4"/>
      <c r="AA534" s="4"/>
    </row>
    <row r="535" ht="12.75" customHeight="1">
      <c r="C535" s="4"/>
      <c r="D535" s="4"/>
      <c r="H535" s="4"/>
      <c r="J535" s="4"/>
      <c r="N535" s="4"/>
      <c r="AA535" s="4"/>
    </row>
    <row r="536" ht="12.75" customHeight="1">
      <c r="C536" s="4"/>
      <c r="D536" s="4"/>
      <c r="H536" s="4"/>
      <c r="J536" s="4"/>
      <c r="N536" s="4"/>
      <c r="AA536" s="4"/>
    </row>
    <row r="537" ht="12.75" customHeight="1">
      <c r="C537" s="4"/>
      <c r="D537" s="4"/>
      <c r="H537" s="4"/>
      <c r="J537" s="4"/>
      <c r="N537" s="4"/>
      <c r="AA537" s="4"/>
    </row>
    <row r="538" ht="12.75" customHeight="1">
      <c r="C538" s="4"/>
      <c r="D538" s="4"/>
      <c r="H538" s="4"/>
      <c r="J538" s="4"/>
      <c r="N538" s="4"/>
      <c r="AA538" s="4"/>
    </row>
    <row r="539" ht="12.75" customHeight="1">
      <c r="C539" s="4"/>
      <c r="D539" s="4"/>
      <c r="H539" s="4"/>
      <c r="J539" s="4"/>
      <c r="N539" s="4"/>
      <c r="AA539" s="4"/>
    </row>
    <row r="540" ht="12.75" customHeight="1">
      <c r="C540" s="4"/>
      <c r="D540" s="4"/>
      <c r="H540" s="4"/>
      <c r="J540" s="4"/>
      <c r="N540" s="4"/>
      <c r="AA540" s="4"/>
    </row>
    <row r="541" ht="12.75" customHeight="1">
      <c r="C541" s="4"/>
      <c r="D541" s="4"/>
      <c r="H541" s="4"/>
      <c r="J541" s="4"/>
      <c r="N541" s="4"/>
      <c r="AA541" s="4"/>
    </row>
    <row r="542" ht="12.75" customHeight="1">
      <c r="C542" s="4"/>
      <c r="D542" s="4"/>
      <c r="H542" s="4"/>
      <c r="J542" s="4"/>
      <c r="N542" s="4"/>
      <c r="AA542" s="4"/>
    </row>
    <row r="543" ht="12.75" customHeight="1">
      <c r="C543" s="4"/>
      <c r="D543" s="4"/>
      <c r="H543" s="4"/>
      <c r="J543" s="4"/>
      <c r="N543" s="4"/>
      <c r="AA543" s="4"/>
    </row>
    <row r="544" ht="12.75" customHeight="1">
      <c r="C544" s="4"/>
      <c r="D544" s="4"/>
      <c r="H544" s="4"/>
      <c r="J544" s="4"/>
      <c r="N544" s="4"/>
      <c r="AA544" s="4"/>
    </row>
    <row r="545" ht="12.75" customHeight="1">
      <c r="C545" s="4"/>
      <c r="D545" s="4"/>
      <c r="H545" s="4"/>
      <c r="J545" s="4"/>
      <c r="N545" s="4"/>
      <c r="AA545" s="4"/>
    </row>
    <row r="546" ht="12.75" customHeight="1">
      <c r="C546" s="4"/>
      <c r="D546" s="4"/>
      <c r="H546" s="4"/>
      <c r="J546" s="4"/>
      <c r="N546" s="4"/>
      <c r="AA546" s="4"/>
    </row>
    <row r="547" ht="12.75" customHeight="1">
      <c r="C547" s="4"/>
      <c r="D547" s="4"/>
      <c r="H547" s="4"/>
      <c r="J547" s="4"/>
      <c r="N547" s="4"/>
      <c r="AA547" s="4"/>
    </row>
    <row r="548" ht="12.75" customHeight="1">
      <c r="C548" s="4"/>
      <c r="D548" s="4"/>
      <c r="H548" s="4"/>
      <c r="J548" s="4"/>
      <c r="N548" s="4"/>
      <c r="AA548" s="4"/>
    </row>
    <row r="549" ht="12.75" customHeight="1">
      <c r="C549" s="4"/>
      <c r="D549" s="4"/>
      <c r="H549" s="4"/>
      <c r="J549" s="4"/>
      <c r="N549" s="4"/>
      <c r="AA549" s="4"/>
    </row>
    <row r="550" ht="12.75" customHeight="1">
      <c r="C550" s="4"/>
      <c r="D550" s="4"/>
      <c r="H550" s="4"/>
      <c r="J550" s="4"/>
      <c r="N550" s="4"/>
      <c r="AA550" s="4"/>
    </row>
    <row r="551" ht="12.75" customHeight="1">
      <c r="C551" s="4"/>
      <c r="D551" s="4"/>
      <c r="H551" s="4"/>
      <c r="J551" s="4"/>
      <c r="N551" s="4"/>
      <c r="AA551" s="4"/>
    </row>
    <row r="552" ht="12.75" customHeight="1">
      <c r="C552" s="4"/>
      <c r="D552" s="4"/>
      <c r="H552" s="4"/>
      <c r="J552" s="4"/>
      <c r="N552" s="4"/>
      <c r="AA552" s="4"/>
    </row>
    <row r="553" ht="12.75" customHeight="1">
      <c r="C553" s="4"/>
      <c r="D553" s="4"/>
      <c r="H553" s="4"/>
      <c r="J553" s="4"/>
      <c r="N553" s="4"/>
      <c r="AA553" s="4"/>
    </row>
    <row r="554" ht="12.75" customHeight="1">
      <c r="C554" s="4"/>
      <c r="D554" s="4"/>
      <c r="H554" s="4"/>
      <c r="J554" s="4"/>
      <c r="N554" s="4"/>
      <c r="AA554" s="4"/>
    </row>
    <row r="555" ht="12.75" customHeight="1">
      <c r="C555" s="4"/>
      <c r="D555" s="4"/>
      <c r="H555" s="4"/>
      <c r="J555" s="4"/>
      <c r="N555" s="4"/>
      <c r="AA555" s="4"/>
    </row>
    <row r="556" ht="12.75" customHeight="1">
      <c r="C556" s="4"/>
      <c r="D556" s="4"/>
      <c r="H556" s="4"/>
      <c r="J556" s="4"/>
      <c r="N556" s="4"/>
      <c r="AA556" s="4"/>
    </row>
    <row r="557" ht="12.75" customHeight="1">
      <c r="C557" s="4"/>
      <c r="D557" s="4"/>
      <c r="H557" s="4"/>
      <c r="J557" s="4"/>
      <c r="N557" s="4"/>
      <c r="AA557" s="4"/>
    </row>
    <row r="558" ht="12.75" customHeight="1">
      <c r="C558" s="4"/>
      <c r="D558" s="4"/>
      <c r="H558" s="4"/>
      <c r="J558" s="4"/>
      <c r="N558" s="4"/>
      <c r="AA558" s="4"/>
    </row>
    <row r="559" ht="12.75" customHeight="1">
      <c r="C559" s="4"/>
      <c r="D559" s="4"/>
      <c r="H559" s="4"/>
      <c r="J559" s="4"/>
      <c r="N559" s="4"/>
      <c r="AA559" s="4"/>
    </row>
    <row r="560" ht="12.75" customHeight="1">
      <c r="C560" s="4"/>
      <c r="D560" s="4"/>
      <c r="H560" s="4"/>
      <c r="J560" s="4"/>
      <c r="N560" s="4"/>
      <c r="AA560" s="4"/>
    </row>
    <row r="561" ht="12.75" customHeight="1">
      <c r="C561" s="4"/>
      <c r="D561" s="4"/>
      <c r="H561" s="4"/>
      <c r="J561" s="4"/>
      <c r="N561" s="4"/>
      <c r="AA561" s="4"/>
    </row>
    <row r="562" ht="12.75" customHeight="1">
      <c r="C562" s="4"/>
      <c r="D562" s="4"/>
      <c r="H562" s="4"/>
      <c r="J562" s="4"/>
      <c r="N562" s="4"/>
      <c r="AA562" s="4"/>
    </row>
    <row r="563" ht="12.75" customHeight="1">
      <c r="C563" s="4"/>
      <c r="D563" s="4"/>
      <c r="H563" s="4"/>
      <c r="J563" s="4"/>
      <c r="N563" s="4"/>
      <c r="AA563" s="4"/>
    </row>
    <row r="564" ht="12.75" customHeight="1">
      <c r="C564" s="4"/>
      <c r="D564" s="4"/>
      <c r="H564" s="4"/>
      <c r="J564" s="4"/>
      <c r="N564" s="4"/>
      <c r="AA564" s="4"/>
    </row>
    <row r="565" ht="12.75" customHeight="1">
      <c r="C565" s="4"/>
      <c r="D565" s="4"/>
      <c r="H565" s="4"/>
      <c r="J565" s="4"/>
      <c r="N565" s="4"/>
      <c r="AA565" s="4"/>
    </row>
    <row r="566" ht="12.75" customHeight="1">
      <c r="C566" s="4"/>
      <c r="D566" s="4"/>
      <c r="H566" s="4"/>
      <c r="J566" s="4"/>
      <c r="N566" s="4"/>
      <c r="AA566" s="4"/>
    </row>
    <row r="567" ht="12.75" customHeight="1">
      <c r="C567" s="4"/>
      <c r="D567" s="4"/>
      <c r="H567" s="4"/>
      <c r="J567" s="4"/>
      <c r="N567" s="4"/>
      <c r="AA567" s="4"/>
    </row>
    <row r="568" ht="12.75" customHeight="1">
      <c r="C568" s="4"/>
      <c r="D568" s="4"/>
      <c r="H568" s="4"/>
      <c r="J568" s="4"/>
      <c r="N568" s="4"/>
      <c r="AA568" s="4"/>
    </row>
    <row r="569" ht="12.75" customHeight="1">
      <c r="C569" s="4"/>
      <c r="D569" s="4"/>
      <c r="H569" s="4"/>
      <c r="J569" s="4"/>
      <c r="N569" s="4"/>
      <c r="AA569" s="4"/>
    </row>
    <row r="570" ht="12.75" customHeight="1">
      <c r="C570" s="4"/>
      <c r="D570" s="4"/>
      <c r="H570" s="4"/>
      <c r="J570" s="4"/>
      <c r="N570" s="4"/>
      <c r="AA570" s="4"/>
    </row>
    <row r="571" ht="12.75" customHeight="1">
      <c r="C571" s="4"/>
      <c r="D571" s="4"/>
      <c r="H571" s="4"/>
      <c r="J571" s="4"/>
      <c r="N571" s="4"/>
      <c r="AA571" s="4"/>
    </row>
    <row r="572" ht="12.75" customHeight="1">
      <c r="C572" s="4"/>
      <c r="D572" s="4"/>
      <c r="H572" s="4"/>
      <c r="J572" s="4"/>
      <c r="N572" s="4"/>
      <c r="AA572" s="4"/>
    </row>
    <row r="573" ht="12.75" customHeight="1">
      <c r="C573" s="4"/>
      <c r="D573" s="4"/>
      <c r="H573" s="4"/>
      <c r="J573" s="4"/>
      <c r="N573" s="4"/>
      <c r="AA573" s="4"/>
    </row>
    <row r="574" ht="12.75" customHeight="1">
      <c r="C574" s="4"/>
      <c r="D574" s="4"/>
      <c r="H574" s="4"/>
      <c r="J574" s="4"/>
      <c r="N574" s="4"/>
      <c r="AA574" s="4"/>
    </row>
    <row r="575" ht="12.75" customHeight="1">
      <c r="C575" s="4"/>
      <c r="D575" s="4"/>
      <c r="H575" s="4"/>
      <c r="J575" s="4"/>
      <c r="N575" s="4"/>
      <c r="AA575" s="4"/>
    </row>
    <row r="576" ht="12.75" customHeight="1">
      <c r="C576" s="4"/>
      <c r="D576" s="4"/>
      <c r="H576" s="4"/>
      <c r="J576" s="4"/>
      <c r="N576" s="4"/>
      <c r="AA576" s="4"/>
    </row>
    <row r="577" ht="12.75" customHeight="1">
      <c r="C577" s="4"/>
      <c r="D577" s="4"/>
      <c r="H577" s="4"/>
      <c r="J577" s="4"/>
      <c r="N577" s="4"/>
      <c r="AA577" s="4"/>
    </row>
    <row r="578" ht="12.75" customHeight="1">
      <c r="C578" s="4"/>
      <c r="D578" s="4"/>
      <c r="H578" s="4"/>
      <c r="J578" s="4"/>
      <c r="N578" s="4"/>
      <c r="AA578" s="4"/>
    </row>
    <row r="579" ht="12.75" customHeight="1">
      <c r="C579" s="4"/>
      <c r="D579" s="4"/>
      <c r="H579" s="4"/>
      <c r="J579" s="4"/>
      <c r="N579" s="4"/>
      <c r="AA579" s="4"/>
    </row>
    <row r="580" ht="12.75" customHeight="1">
      <c r="C580" s="4"/>
      <c r="D580" s="4"/>
      <c r="H580" s="4"/>
      <c r="J580" s="4"/>
      <c r="N580" s="4"/>
      <c r="AA580" s="4"/>
    </row>
    <row r="581" ht="12.75" customHeight="1">
      <c r="C581" s="4"/>
      <c r="D581" s="4"/>
      <c r="H581" s="4"/>
      <c r="J581" s="4"/>
      <c r="N581" s="4"/>
      <c r="AA581" s="4"/>
    </row>
    <row r="582" ht="12.75" customHeight="1">
      <c r="C582" s="4"/>
      <c r="D582" s="4"/>
      <c r="H582" s="4"/>
      <c r="J582" s="4"/>
      <c r="N582" s="4"/>
      <c r="AA582" s="4"/>
    </row>
    <row r="583" ht="12.75" customHeight="1">
      <c r="C583" s="4"/>
      <c r="D583" s="4"/>
      <c r="H583" s="4"/>
      <c r="J583" s="4"/>
      <c r="N583" s="4"/>
      <c r="AA583" s="4"/>
    </row>
    <row r="584" ht="12.75" customHeight="1">
      <c r="C584" s="4"/>
      <c r="D584" s="4"/>
      <c r="H584" s="4"/>
      <c r="J584" s="4"/>
      <c r="N584" s="4"/>
      <c r="AA584" s="4"/>
    </row>
    <row r="585" ht="12.75" customHeight="1">
      <c r="C585" s="4"/>
      <c r="D585" s="4"/>
      <c r="H585" s="4"/>
      <c r="J585" s="4"/>
      <c r="N585" s="4"/>
      <c r="AA585" s="4"/>
    </row>
    <row r="586" ht="12.75" customHeight="1">
      <c r="C586" s="4"/>
      <c r="D586" s="4"/>
      <c r="H586" s="4"/>
      <c r="J586" s="4"/>
      <c r="N586" s="4"/>
      <c r="AA586" s="4"/>
    </row>
    <row r="587" ht="12.75" customHeight="1">
      <c r="C587" s="4"/>
      <c r="D587" s="4"/>
      <c r="H587" s="4"/>
      <c r="J587" s="4"/>
      <c r="N587" s="4"/>
      <c r="AA587" s="4"/>
    </row>
    <row r="588" ht="12.75" customHeight="1">
      <c r="C588" s="4"/>
      <c r="D588" s="4"/>
      <c r="H588" s="4"/>
      <c r="J588" s="4"/>
      <c r="N588" s="4"/>
      <c r="AA588" s="4"/>
    </row>
    <row r="589" ht="12.75" customHeight="1">
      <c r="C589" s="4"/>
      <c r="D589" s="4"/>
      <c r="H589" s="4"/>
      <c r="J589" s="4"/>
      <c r="N589" s="4"/>
      <c r="AA589" s="4"/>
    </row>
    <row r="590" ht="12.75" customHeight="1">
      <c r="C590" s="4"/>
      <c r="D590" s="4"/>
      <c r="H590" s="4"/>
      <c r="J590" s="4"/>
      <c r="N590" s="4"/>
      <c r="AA590" s="4"/>
    </row>
    <row r="591" ht="12.75" customHeight="1">
      <c r="C591" s="4"/>
      <c r="D591" s="4"/>
      <c r="H591" s="4"/>
      <c r="J591" s="4"/>
      <c r="N591" s="4"/>
      <c r="AA591" s="4"/>
    </row>
    <row r="592" ht="12.75" customHeight="1">
      <c r="C592" s="4"/>
      <c r="D592" s="4"/>
      <c r="H592" s="4"/>
      <c r="J592" s="4"/>
      <c r="N592" s="4"/>
      <c r="AA592" s="4"/>
    </row>
    <row r="593" ht="12.75" customHeight="1">
      <c r="C593" s="4"/>
      <c r="D593" s="4"/>
      <c r="H593" s="4"/>
      <c r="J593" s="4"/>
      <c r="N593" s="4"/>
      <c r="AA593" s="4"/>
    </row>
    <row r="594" ht="12.75" customHeight="1">
      <c r="C594" s="4"/>
      <c r="D594" s="4"/>
      <c r="H594" s="4"/>
      <c r="J594" s="4"/>
      <c r="N594" s="4"/>
      <c r="AA594" s="4"/>
    </row>
    <row r="595" ht="12.75" customHeight="1">
      <c r="C595" s="4"/>
      <c r="D595" s="4"/>
      <c r="H595" s="4"/>
      <c r="J595" s="4"/>
      <c r="N595" s="4"/>
      <c r="AA595" s="4"/>
    </row>
    <row r="596" ht="12.75" customHeight="1">
      <c r="C596" s="4"/>
      <c r="D596" s="4"/>
      <c r="H596" s="4"/>
      <c r="J596" s="4"/>
      <c r="N596" s="4"/>
      <c r="AA596" s="4"/>
    </row>
    <row r="597" ht="12.75" customHeight="1">
      <c r="C597" s="4"/>
      <c r="D597" s="4"/>
      <c r="H597" s="4"/>
      <c r="J597" s="4"/>
      <c r="N597" s="4"/>
      <c r="AA597" s="4"/>
    </row>
    <row r="598" ht="12.75" customHeight="1">
      <c r="C598" s="4"/>
      <c r="D598" s="4"/>
      <c r="H598" s="4"/>
      <c r="J598" s="4"/>
      <c r="N598" s="4"/>
      <c r="AA598" s="4"/>
    </row>
    <row r="599" ht="12.75" customHeight="1">
      <c r="C599" s="4"/>
      <c r="D599" s="4"/>
      <c r="H599" s="4"/>
      <c r="J599" s="4"/>
      <c r="N599" s="4"/>
      <c r="AA599" s="4"/>
    </row>
    <row r="600" ht="12.75" customHeight="1">
      <c r="C600" s="4"/>
      <c r="D600" s="4"/>
      <c r="H600" s="4"/>
      <c r="J600" s="4"/>
      <c r="N600" s="4"/>
      <c r="AA600" s="4"/>
    </row>
    <row r="601" ht="12.75" customHeight="1">
      <c r="C601" s="4"/>
      <c r="D601" s="4"/>
      <c r="H601" s="4"/>
      <c r="J601" s="4"/>
      <c r="N601" s="4"/>
      <c r="AA601" s="4"/>
    </row>
    <row r="602" ht="12.75" customHeight="1">
      <c r="C602" s="4"/>
      <c r="D602" s="4"/>
      <c r="H602" s="4"/>
      <c r="J602" s="4"/>
      <c r="N602" s="4"/>
      <c r="AA602" s="4"/>
    </row>
    <row r="603" ht="12.75" customHeight="1">
      <c r="C603" s="4"/>
      <c r="D603" s="4"/>
      <c r="H603" s="4"/>
      <c r="J603" s="4"/>
      <c r="N603" s="4"/>
      <c r="AA603" s="4"/>
    </row>
    <row r="604" ht="12.75" customHeight="1">
      <c r="C604" s="4"/>
      <c r="D604" s="4"/>
      <c r="H604" s="4"/>
      <c r="J604" s="4"/>
      <c r="N604" s="4"/>
      <c r="AA604" s="4"/>
    </row>
    <row r="605" ht="12.75" customHeight="1">
      <c r="C605" s="4"/>
      <c r="D605" s="4"/>
      <c r="H605" s="4"/>
      <c r="J605" s="4"/>
      <c r="N605" s="4"/>
      <c r="AA605" s="4"/>
    </row>
    <row r="606" ht="12.75" customHeight="1">
      <c r="C606" s="4"/>
      <c r="D606" s="4"/>
      <c r="H606" s="4"/>
      <c r="J606" s="4"/>
      <c r="N606" s="4"/>
      <c r="AA606" s="4"/>
    </row>
    <row r="607" ht="12.75" customHeight="1">
      <c r="C607" s="4"/>
      <c r="D607" s="4"/>
      <c r="H607" s="4"/>
      <c r="J607" s="4"/>
      <c r="N607" s="4"/>
      <c r="AA607" s="4"/>
    </row>
    <row r="608" ht="12.75" customHeight="1">
      <c r="C608" s="4"/>
      <c r="D608" s="4"/>
      <c r="H608" s="4"/>
      <c r="J608" s="4"/>
      <c r="N608" s="4"/>
      <c r="AA608" s="4"/>
    </row>
    <row r="609" ht="12.75" customHeight="1">
      <c r="C609" s="4"/>
      <c r="D609" s="4"/>
      <c r="H609" s="4"/>
      <c r="J609" s="4"/>
      <c r="N609" s="4"/>
      <c r="AA609" s="4"/>
    </row>
    <row r="610" ht="12.75" customHeight="1">
      <c r="C610" s="4"/>
      <c r="D610" s="4"/>
      <c r="H610" s="4"/>
      <c r="J610" s="4"/>
      <c r="N610" s="4"/>
      <c r="AA610" s="4"/>
    </row>
    <row r="611" ht="12.75" customHeight="1">
      <c r="C611" s="4"/>
      <c r="D611" s="4"/>
      <c r="H611" s="4"/>
      <c r="J611" s="4"/>
      <c r="N611" s="4"/>
      <c r="AA611" s="4"/>
    </row>
    <row r="612" ht="12.75" customHeight="1">
      <c r="C612" s="4"/>
      <c r="D612" s="4"/>
      <c r="H612" s="4"/>
      <c r="J612" s="4"/>
      <c r="N612" s="4"/>
      <c r="AA612" s="4"/>
    </row>
    <row r="613" ht="12.75" customHeight="1">
      <c r="C613" s="4"/>
      <c r="D613" s="4"/>
      <c r="H613" s="4"/>
      <c r="J613" s="4"/>
      <c r="N613" s="4"/>
      <c r="AA613" s="4"/>
    </row>
    <row r="614" ht="12.75" customHeight="1">
      <c r="C614" s="4"/>
      <c r="D614" s="4"/>
      <c r="H614" s="4"/>
      <c r="J614" s="4"/>
      <c r="N614" s="4"/>
      <c r="AA614" s="4"/>
    </row>
    <row r="615" ht="12.75" customHeight="1">
      <c r="C615" s="4"/>
      <c r="D615" s="4"/>
      <c r="H615" s="4"/>
      <c r="J615" s="4"/>
      <c r="N615" s="4"/>
      <c r="AA615" s="4"/>
    </row>
    <row r="616" ht="12.75" customHeight="1">
      <c r="C616" s="4"/>
      <c r="D616" s="4"/>
      <c r="H616" s="4"/>
      <c r="J616" s="4"/>
      <c r="N616" s="4"/>
      <c r="AA616" s="4"/>
    </row>
    <row r="617" ht="12.75" customHeight="1">
      <c r="C617" s="4"/>
      <c r="D617" s="4"/>
      <c r="H617" s="4"/>
      <c r="J617" s="4"/>
      <c r="N617" s="4"/>
      <c r="AA617" s="4"/>
    </row>
    <row r="618" ht="12.75" customHeight="1">
      <c r="C618" s="4"/>
      <c r="D618" s="4"/>
      <c r="H618" s="4"/>
      <c r="J618" s="4"/>
      <c r="N618" s="4"/>
      <c r="AA618" s="4"/>
    </row>
    <row r="619" ht="12.75" customHeight="1">
      <c r="C619" s="4"/>
      <c r="D619" s="4"/>
      <c r="H619" s="4"/>
      <c r="J619" s="4"/>
      <c r="N619" s="4"/>
      <c r="AA619" s="4"/>
    </row>
    <row r="620" ht="12.75" customHeight="1">
      <c r="C620" s="4"/>
      <c r="D620" s="4"/>
      <c r="H620" s="4"/>
      <c r="J620" s="4"/>
      <c r="N620" s="4"/>
      <c r="AA620" s="4"/>
    </row>
    <row r="621" ht="12.75" customHeight="1">
      <c r="C621" s="4"/>
      <c r="D621" s="4"/>
      <c r="H621" s="4"/>
      <c r="J621" s="4"/>
      <c r="N621" s="4"/>
      <c r="AA621" s="4"/>
    </row>
    <row r="622" ht="12.75" customHeight="1">
      <c r="C622" s="4"/>
      <c r="D622" s="4"/>
      <c r="H622" s="4"/>
      <c r="J622" s="4"/>
      <c r="N622" s="4"/>
      <c r="AA622" s="4"/>
    </row>
    <row r="623" ht="12.75" customHeight="1">
      <c r="C623" s="4"/>
      <c r="D623" s="4"/>
      <c r="H623" s="4"/>
      <c r="J623" s="4"/>
      <c r="N623" s="4"/>
      <c r="AA623" s="4"/>
    </row>
    <row r="624" ht="12.75" customHeight="1">
      <c r="C624" s="4"/>
      <c r="D624" s="4"/>
      <c r="H624" s="4"/>
      <c r="J624" s="4"/>
      <c r="N624" s="4"/>
      <c r="AA624" s="4"/>
    </row>
    <row r="625" ht="12.75" customHeight="1">
      <c r="C625" s="4"/>
      <c r="D625" s="4"/>
      <c r="H625" s="4"/>
      <c r="J625" s="4"/>
      <c r="N625" s="4"/>
      <c r="AA625" s="4"/>
    </row>
    <row r="626" ht="12.75" customHeight="1">
      <c r="C626" s="4"/>
      <c r="D626" s="4"/>
      <c r="H626" s="4"/>
      <c r="J626" s="4"/>
      <c r="N626" s="4"/>
      <c r="AA626" s="4"/>
    </row>
    <row r="627" ht="12.75" customHeight="1">
      <c r="C627" s="4"/>
      <c r="D627" s="4"/>
      <c r="H627" s="4"/>
      <c r="J627" s="4"/>
      <c r="N627" s="4"/>
      <c r="AA627" s="4"/>
    </row>
    <row r="628" ht="12.75" customHeight="1">
      <c r="C628" s="4"/>
      <c r="D628" s="4"/>
      <c r="H628" s="4"/>
      <c r="J628" s="4"/>
      <c r="N628" s="4"/>
      <c r="AA628" s="4"/>
    </row>
    <row r="629" ht="12.75" customHeight="1">
      <c r="C629" s="4"/>
      <c r="D629" s="4"/>
      <c r="H629" s="4"/>
      <c r="J629" s="4"/>
      <c r="N629" s="4"/>
      <c r="AA629" s="4"/>
    </row>
    <row r="630" ht="12.75" customHeight="1">
      <c r="C630" s="4"/>
      <c r="D630" s="4"/>
      <c r="H630" s="4"/>
      <c r="J630" s="4"/>
      <c r="N630" s="4"/>
      <c r="AA630" s="4"/>
    </row>
    <row r="631" ht="12.75" customHeight="1">
      <c r="C631" s="4"/>
      <c r="D631" s="4"/>
      <c r="H631" s="4"/>
      <c r="J631" s="4"/>
      <c r="N631" s="4"/>
      <c r="AA631" s="4"/>
    </row>
    <row r="632" ht="12.75" customHeight="1">
      <c r="C632" s="4"/>
      <c r="D632" s="4"/>
      <c r="H632" s="4"/>
      <c r="J632" s="4"/>
      <c r="N632" s="4"/>
      <c r="AA632" s="4"/>
    </row>
    <row r="633" ht="12.75" customHeight="1">
      <c r="C633" s="4"/>
      <c r="D633" s="4"/>
      <c r="H633" s="4"/>
      <c r="J633" s="4"/>
      <c r="N633" s="4"/>
      <c r="AA633" s="4"/>
    </row>
    <row r="634" ht="12.75" customHeight="1">
      <c r="C634" s="4"/>
      <c r="D634" s="4"/>
      <c r="H634" s="4"/>
      <c r="J634" s="4"/>
      <c r="N634" s="4"/>
      <c r="AA634" s="4"/>
    </row>
    <row r="635" ht="12.75" customHeight="1">
      <c r="C635" s="4"/>
      <c r="D635" s="4"/>
      <c r="H635" s="4"/>
      <c r="J635" s="4"/>
      <c r="N635" s="4"/>
      <c r="AA635" s="4"/>
    </row>
    <row r="636" ht="12.75" customHeight="1">
      <c r="C636" s="4"/>
      <c r="D636" s="4"/>
      <c r="H636" s="4"/>
      <c r="J636" s="4"/>
      <c r="N636" s="4"/>
      <c r="AA636" s="4"/>
    </row>
    <row r="637" ht="12.75" customHeight="1">
      <c r="C637" s="4"/>
      <c r="D637" s="4"/>
      <c r="H637" s="4"/>
      <c r="J637" s="4"/>
      <c r="N637" s="4"/>
      <c r="AA637" s="4"/>
    </row>
    <row r="638" ht="12.75" customHeight="1">
      <c r="C638" s="4"/>
      <c r="D638" s="4"/>
      <c r="H638" s="4"/>
      <c r="J638" s="4"/>
      <c r="N638" s="4"/>
      <c r="AA638" s="4"/>
    </row>
    <row r="639" ht="12.75" customHeight="1">
      <c r="C639" s="4"/>
      <c r="D639" s="4"/>
      <c r="H639" s="4"/>
      <c r="J639" s="4"/>
      <c r="N639" s="4"/>
      <c r="AA639" s="4"/>
    </row>
    <row r="640" ht="12.75" customHeight="1">
      <c r="C640" s="4"/>
      <c r="D640" s="4"/>
      <c r="H640" s="4"/>
      <c r="J640" s="4"/>
      <c r="N640" s="4"/>
      <c r="AA640" s="4"/>
    </row>
    <row r="641" ht="12.75" customHeight="1">
      <c r="C641" s="4"/>
      <c r="D641" s="4"/>
      <c r="H641" s="4"/>
      <c r="J641" s="4"/>
      <c r="N641" s="4"/>
      <c r="AA641" s="4"/>
    </row>
    <row r="642" ht="12.75" customHeight="1">
      <c r="C642" s="4"/>
      <c r="D642" s="4"/>
      <c r="H642" s="4"/>
      <c r="J642" s="4"/>
      <c r="N642" s="4"/>
      <c r="AA642" s="4"/>
    </row>
    <row r="643" ht="12.75" customHeight="1">
      <c r="C643" s="4"/>
      <c r="D643" s="4"/>
      <c r="H643" s="4"/>
      <c r="J643" s="4"/>
      <c r="N643" s="4"/>
      <c r="AA643" s="4"/>
    </row>
    <row r="644" ht="12.75" customHeight="1">
      <c r="C644" s="4"/>
      <c r="D644" s="4"/>
      <c r="H644" s="4"/>
      <c r="J644" s="4"/>
      <c r="N644" s="4"/>
      <c r="AA644" s="4"/>
    </row>
    <row r="645" ht="12.75" customHeight="1">
      <c r="C645" s="4"/>
      <c r="D645" s="4"/>
      <c r="H645" s="4"/>
      <c r="J645" s="4"/>
      <c r="N645" s="4"/>
      <c r="AA645" s="4"/>
    </row>
    <row r="646" ht="12.75" customHeight="1">
      <c r="C646" s="4"/>
      <c r="D646" s="4"/>
      <c r="H646" s="4"/>
      <c r="J646" s="4"/>
      <c r="N646" s="4"/>
      <c r="AA646" s="4"/>
    </row>
    <row r="647" ht="12.75" customHeight="1">
      <c r="C647" s="4"/>
      <c r="D647" s="4"/>
      <c r="H647" s="4"/>
      <c r="J647" s="4"/>
      <c r="N647" s="4"/>
      <c r="AA647" s="4"/>
    </row>
    <row r="648" ht="12.75" customHeight="1">
      <c r="C648" s="4"/>
      <c r="D648" s="4"/>
      <c r="H648" s="4"/>
      <c r="J648" s="4"/>
      <c r="N648" s="4"/>
      <c r="AA648" s="4"/>
    </row>
    <row r="649" ht="12.75" customHeight="1">
      <c r="C649" s="4"/>
      <c r="D649" s="4"/>
      <c r="H649" s="4"/>
      <c r="J649" s="4"/>
      <c r="N649" s="4"/>
      <c r="AA649" s="4"/>
    </row>
    <row r="650" ht="12.75" customHeight="1">
      <c r="C650" s="4"/>
      <c r="D650" s="4"/>
      <c r="H650" s="4"/>
      <c r="J650" s="4"/>
      <c r="N650" s="4"/>
      <c r="AA650" s="4"/>
    </row>
    <row r="651" ht="12.75" customHeight="1">
      <c r="C651" s="4"/>
      <c r="D651" s="4"/>
      <c r="H651" s="4"/>
      <c r="J651" s="4"/>
      <c r="N651" s="4"/>
      <c r="AA651" s="4"/>
    </row>
    <row r="652" ht="12.75" customHeight="1">
      <c r="C652" s="4"/>
      <c r="D652" s="4"/>
      <c r="H652" s="4"/>
      <c r="J652" s="4"/>
      <c r="N652" s="4"/>
      <c r="AA652" s="4"/>
    </row>
    <row r="653" ht="12.75" customHeight="1">
      <c r="C653" s="4"/>
      <c r="D653" s="4"/>
      <c r="H653" s="4"/>
      <c r="J653" s="4"/>
      <c r="N653" s="4"/>
      <c r="AA653" s="4"/>
    </row>
    <row r="654" ht="12.75" customHeight="1">
      <c r="C654" s="4"/>
      <c r="D654" s="4"/>
      <c r="H654" s="4"/>
      <c r="J654" s="4"/>
      <c r="N654" s="4"/>
      <c r="AA654" s="4"/>
    </row>
    <row r="655" ht="12.75" customHeight="1">
      <c r="C655" s="4"/>
      <c r="D655" s="4"/>
      <c r="H655" s="4"/>
      <c r="J655" s="4"/>
      <c r="N655" s="4"/>
      <c r="AA655" s="4"/>
    </row>
    <row r="656" ht="12.75" customHeight="1">
      <c r="C656" s="4"/>
      <c r="D656" s="4"/>
      <c r="H656" s="4"/>
      <c r="J656" s="4"/>
      <c r="N656" s="4"/>
      <c r="AA656" s="4"/>
    </row>
    <row r="657" ht="12.75" customHeight="1">
      <c r="C657" s="4"/>
      <c r="D657" s="4"/>
      <c r="H657" s="4"/>
      <c r="J657" s="4"/>
      <c r="N657" s="4"/>
      <c r="AA657" s="4"/>
    </row>
    <row r="658" ht="12.75" customHeight="1">
      <c r="C658" s="4"/>
      <c r="D658" s="4"/>
      <c r="H658" s="4"/>
      <c r="J658" s="4"/>
      <c r="N658" s="4"/>
      <c r="AA658" s="4"/>
    </row>
    <row r="659" ht="12.75" customHeight="1">
      <c r="C659" s="4"/>
      <c r="D659" s="4"/>
      <c r="H659" s="4"/>
      <c r="J659" s="4"/>
      <c r="N659" s="4"/>
      <c r="AA659" s="4"/>
    </row>
    <row r="660" ht="12.75" customHeight="1">
      <c r="C660" s="4"/>
      <c r="D660" s="4"/>
      <c r="H660" s="4"/>
      <c r="J660" s="4"/>
      <c r="N660" s="4"/>
      <c r="AA660" s="4"/>
    </row>
    <row r="661" ht="12.75" customHeight="1">
      <c r="C661" s="4"/>
      <c r="D661" s="4"/>
      <c r="H661" s="4"/>
      <c r="J661" s="4"/>
      <c r="N661" s="4"/>
      <c r="AA661" s="4"/>
    </row>
    <row r="662" ht="12.75" customHeight="1">
      <c r="C662" s="4"/>
      <c r="D662" s="4"/>
      <c r="H662" s="4"/>
      <c r="J662" s="4"/>
      <c r="N662" s="4"/>
      <c r="AA662" s="4"/>
    </row>
    <row r="663" ht="12.75" customHeight="1">
      <c r="C663" s="4"/>
      <c r="D663" s="4"/>
      <c r="H663" s="4"/>
      <c r="J663" s="4"/>
      <c r="N663" s="4"/>
      <c r="AA663" s="4"/>
    </row>
    <row r="664" ht="12.75" customHeight="1">
      <c r="C664" s="4"/>
      <c r="D664" s="4"/>
      <c r="H664" s="4"/>
      <c r="J664" s="4"/>
      <c r="N664" s="4"/>
      <c r="AA664" s="4"/>
    </row>
    <row r="665" ht="12.75" customHeight="1">
      <c r="C665" s="4"/>
      <c r="D665" s="4"/>
      <c r="H665" s="4"/>
      <c r="J665" s="4"/>
      <c r="N665" s="4"/>
      <c r="AA665" s="4"/>
    </row>
    <row r="666" ht="12.75" customHeight="1">
      <c r="C666" s="4"/>
      <c r="D666" s="4"/>
      <c r="H666" s="4"/>
      <c r="J666" s="4"/>
      <c r="N666" s="4"/>
      <c r="AA666" s="4"/>
    </row>
    <row r="667" ht="12.75" customHeight="1">
      <c r="C667" s="4"/>
      <c r="D667" s="4"/>
      <c r="H667" s="4"/>
      <c r="J667" s="4"/>
      <c r="N667" s="4"/>
      <c r="AA667" s="4"/>
    </row>
    <row r="668" ht="12.75" customHeight="1">
      <c r="C668" s="4"/>
      <c r="D668" s="4"/>
      <c r="H668" s="4"/>
      <c r="J668" s="4"/>
      <c r="N668" s="4"/>
      <c r="AA668" s="4"/>
    </row>
    <row r="669" ht="12.75" customHeight="1">
      <c r="C669" s="4"/>
      <c r="D669" s="4"/>
      <c r="H669" s="4"/>
      <c r="J669" s="4"/>
      <c r="N669" s="4"/>
      <c r="AA669" s="4"/>
    </row>
    <row r="670" ht="12.75" customHeight="1">
      <c r="C670" s="4"/>
      <c r="D670" s="4"/>
      <c r="H670" s="4"/>
      <c r="J670" s="4"/>
      <c r="N670" s="4"/>
      <c r="AA670" s="4"/>
    </row>
    <row r="671" ht="12.75" customHeight="1">
      <c r="C671" s="4"/>
      <c r="D671" s="4"/>
      <c r="H671" s="4"/>
      <c r="J671" s="4"/>
      <c r="N671" s="4"/>
      <c r="AA671" s="4"/>
    </row>
    <row r="672" ht="12.75" customHeight="1">
      <c r="C672" s="4"/>
      <c r="D672" s="4"/>
      <c r="H672" s="4"/>
      <c r="J672" s="4"/>
      <c r="N672" s="4"/>
      <c r="AA672" s="4"/>
    </row>
    <row r="673" ht="12.75" customHeight="1">
      <c r="C673" s="4"/>
      <c r="D673" s="4"/>
      <c r="H673" s="4"/>
      <c r="J673" s="4"/>
      <c r="N673" s="4"/>
      <c r="AA673" s="4"/>
    </row>
    <row r="674" ht="12.75" customHeight="1">
      <c r="C674" s="4"/>
      <c r="D674" s="4"/>
      <c r="H674" s="4"/>
      <c r="J674" s="4"/>
      <c r="N674" s="4"/>
      <c r="AA674" s="4"/>
    </row>
    <row r="675" ht="12.75" customHeight="1">
      <c r="C675" s="4"/>
      <c r="D675" s="4"/>
      <c r="H675" s="4"/>
      <c r="J675" s="4"/>
      <c r="N675" s="4"/>
      <c r="AA675" s="4"/>
    </row>
    <row r="676" ht="12.75" customHeight="1">
      <c r="C676" s="4"/>
      <c r="D676" s="4"/>
      <c r="H676" s="4"/>
      <c r="J676" s="4"/>
      <c r="N676" s="4"/>
      <c r="AA676" s="4"/>
    </row>
    <row r="677" ht="12.75" customHeight="1">
      <c r="C677" s="4"/>
      <c r="D677" s="4"/>
      <c r="H677" s="4"/>
      <c r="J677" s="4"/>
      <c r="N677" s="4"/>
      <c r="AA677" s="4"/>
    </row>
    <row r="678" ht="12.75" customHeight="1">
      <c r="C678" s="4"/>
      <c r="D678" s="4"/>
      <c r="H678" s="4"/>
      <c r="J678" s="4"/>
      <c r="N678" s="4"/>
      <c r="AA678" s="4"/>
    </row>
    <row r="679" ht="12.75" customHeight="1">
      <c r="C679" s="4"/>
      <c r="D679" s="4"/>
      <c r="H679" s="4"/>
      <c r="J679" s="4"/>
      <c r="N679" s="4"/>
      <c r="AA679" s="4"/>
    </row>
    <row r="680" ht="12.75" customHeight="1">
      <c r="C680" s="4"/>
      <c r="D680" s="4"/>
      <c r="H680" s="4"/>
      <c r="J680" s="4"/>
      <c r="N680" s="4"/>
      <c r="AA680" s="4"/>
    </row>
    <row r="681" ht="12.75" customHeight="1">
      <c r="C681" s="4"/>
      <c r="D681" s="4"/>
      <c r="H681" s="4"/>
      <c r="J681" s="4"/>
      <c r="N681" s="4"/>
      <c r="AA681" s="4"/>
    </row>
    <row r="682" ht="12.75" customHeight="1">
      <c r="C682" s="4"/>
      <c r="D682" s="4"/>
      <c r="H682" s="4"/>
      <c r="J682" s="4"/>
      <c r="N682" s="4"/>
      <c r="AA682" s="4"/>
    </row>
    <row r="683" ht="12.75" customHeight="1">
      <c r="C683" s="4"/>
      <c r="D683" s="4"/>
      <c r="H683" s="4"/>
      <c r="J683" s="4"/>
      <c r="N683" s="4"/>
      <c r="AA683" s="4"/>
    </row>
    <row r="684" ht="12.75" customHeight="1">
      <c r="C684" s="4"/>
      <c r="D684" s="4"/>
      <c r="H684" s="4"/>
      <c r="J684" s="4"/>
      <c r="N684" s="4"/>
      <c r="AA684" s="4"/>
    </row>
    <row r="685" ht="12.75" customHeight="1">
      <c r="C685" s="4"/>
      <c r="D685" s="4"/>
      <c r="H685" s="4"/>
      <c r="J685" s="4"/>
      <c r="N685" s="4"/>
      <c r="AA685" s="4"/>
    </row>
    <row r="686" ht="12.75" customHeight="1">
      <c r="C686" s="4"/>
      <c r="D686" s="4"/>
      <c r="H686" s="4"/>
      <c r="J686" s="4"/>
      <c r="N686" s="4"/>
      <c r="AA686" s="4"/>
    </row>
    <row r="687" ht="12.75" customHeight="1">
      <c r="C687" s="4"/>
      <c r="D687" s="4"/>
      <c r="H687" s="4"/>
      <c r="J687" s="4"/>
      <c r="N687" s="4"/>
      <c r="AA687" s="4"/>
    </row>
    <row r="688" ht="12.75" customHeight="1">
      <c r="C688" s="4"/>
      <c r="D688" s="4"/>
      <c r="H688" s="4"/>
      <c r="J688" s="4"/>
      <c r="N688" s="4"/>
      <c r="AA688" s="4"/>
    </row>
    <row r="689" ht="12.75" customHeight="1">
      <c r="C689" s="4"/>
      <c r="D689" s="4"/>
      <c r="H689" s="4"/>
      <c r="J689" s="4"/>
      <c r="N689" s="4"/>
      <c r="AA689" s="4"/>
    </row>
    <row r="690" ht="12.75" customHeight="1">
      <c r="C690" s="4"/>
      <c r="D690" s="4"/>
      <c r="H690" s="4"/>
      <c r="J690" s="4"/>
      <c r="N690" s="4"/>
      <c r="AA690" s="4"/>
    </row>
    <row r="691" ht="12.75" customHeight="1">
      <c r="C691" s="4"/>
      <c r="D691" s="4"/>
      <c r="H691" s="4"/>
      <c r="J691" s="4"/>
      <c r="N691" s="4"/>
      <c r="AA691" s="4"/>
    </row>
    <row r="692" ht="12.75" customHeight="1">
      <c r="C692" s="4"/>
      <c r="D692" s="4"/>
      <c r="H692" s="4"/>
      <c r="J692" s="4"/>
      <c r="N692" s="4"/>
      <c r="AA692" s="4"/>
    </row>
    <row r="693" ht="12.75" customHeight="1">
      <c r="C693" s="4"/>
      <c r="D693" s="4"/>
      <c r="H693" s="4"/>
      <c r="J693" s="4"/>
      <c r="N693" s="4"/>
      <c r="AA693" s="4"/>
    </row>
    <row r="694" ht="12.75" customHeight="1">
      <c r="C694" s="4"/>
      <c r="D694" s="4"/>
      <c r="H694" s="4"/>
      <c r="J694" s="4"/>
      <c r="N694" s="4"/>
      <c r="AA694" s="4"/>
    </row>
    <row r="695" ht="12.75" customHeight="1">
      <c r="C695" s="4"/>
      <c r="D695" s="4"/>
      <c r="H695" s="4"/>
      <c r="J695" s="4"/>
      <c r="N695" s="4"/>
      <c r="AA695" s="4"/>
    </row>
    <row r="696" ht="12.75" customHeight="1">
      <c r="C696" s="4"/>
      <c r="D696" s="4"/>
      <c r="H696" s="4"/>
      <c r="J696" s="4"/>
      <c r="N696" s="4"/>
      <c r="AA696" s="4"/>
    </row>
    <row r="697" ht="12.75" customHeight="1">
      <c r="C697" s="4"/>
      <c r="D697" s="4"/>
      <c r="H697" s="4"/>
      <c r="J697" s="4"/>
      <c r="N697" s="4"/>
      <c r="AA697" s="4"/>
    </row>
    <row r="698" ht="12.75" customHeight="1">
      <c r="C698" s="4"/>
      <c r="D698" s="4"/>
      <c r="H698" s="4"/>
      <c r="J698" s="4"/>
      <c r="N698" s="4"/>
      <c r="AA698" s="4"/>
    </row>
    <row r="699" ht="12.75" customHeight="1">
      <c r="C699" s="4"/>
      <c r="D699" s="4"/>
      <c r="H699" s="4"/>
      <c r="J699" s="4"/>
      <c r="N699" s="4"/>
      <c r="AA699" s="4"/>
    </row>
    <row r="700" ht="12.75" customHeight="1">
      <c r="C700" s="4"/>
      <c r="D700" s="4"/>
      <c r="H700" s="4"/>
      <c r="J700" s="4"/>
      <c r="N700" s="4"/>
      <c r="AA700" s="4"/>
    </row>
    <row r="701" ht="12.75" customHeight="1">
      <c r="C701" s="4"/>
      <c r="D701" s="4"/>
      <c r="H701" s="4"/>
      <c r="J701" s="4"/>
      <c r="N701" s="4"/>
      <c r="AA701" s="4"/>
    </row>
    <row r="702" ht="12.75" customHeight="1">
      <c r="C702" s="4"/>
      <c r="D702" s="4"/>
      <c r="H702" s="4"/>
      <c r="J702" s="4"/>
      <c r="N702" s="4"/>
      <c r="AA702" s="4"/>
    </row>
    <row r="703" ht="12.75" customHeight="1">
      <c r="C703" s="4"/>
      <c r="D703" s="4"/>
      <c r="H703" s="4"/>
      <c r="J703" s="4"/>
      <c r="N703" s="4"/>
      <c r="AA703" s="4"/>
    </row>
    <row r="704" ht="12.75" customHeight="1">
      <c r="C704" s="4"/>
      <c r="D704" s="4"/>
      <c r="H704" s="4"/>
      <c r="J704" s="4"/>
      <c r="N704" s="4"/>
      <c r="AA704" s="4"/>
    </row>
    <row r="705" ht="12.75" customHeight="1">
      <c r="C705" s="4"/>
      <c r="D705" s="4"/>
      <c r="H705" s="4"/>
      <c r="J705" s="4"/>
      <c r="N705" s="4"/>
      <c r="AA705" s="4"/>
    </row>
    <row r="706" ht="12.75" customHeight="1">
      <c r="C706" s="4"/>
      <c r="D706" s="4"/>
      <c r="H706" s="4"/>
      <c r="J706" s="4"/>
      <c r="N706" s="4"/>
      <c r="AA706" s="4"/>
    </row>
    <row r="707" ht="12.75" customHeight="1">
      <c r="C707" s="4"/>
      <c r="D707" s="4"/>
      <c r="H707" s="4"/>
      <c r="J707" s="4"/>
      <c r="N707" s="4"/>
      <c r="AA707" s="4"/>
    </row>
    <row r="708" ht="12.75" customHeight="1">
      <c r="C708" s="4"/>
      <c r="D708" s="4"/>
      <c r="H708" s="4"/>
      <c r="J708" s="4"/>
      <c r="N708" s="4"/>
      <c r="AA708" s="4"/>
    </row>
    <row r="709" ht="12.75" customHeight="1">
      <c r="C709" s="4"/>
      <c r="D709" s="4"/>
      <c r="H709" s="4"/>
      <c r="J709" s="4"/>
      <c r="N709" s="4"/>
      <c r="AA709" s="4"/>
    </row>
    <row r="710" ht="12.75" customHeight="1">
      <c r="C710" s="4"/>
      <c r="D710" s="4"/>
      <c r="H710" s="4"/>
      <c r="J710" s="4"/>
      <c r="N710" s="4"/>
      <c r="AA710" s="4"/>
    </row>
    <row r="711" ht="12.75" customHeight="1">
      <c r="C711" s="4"/>
      <c r="D711" s="4"/>
      <c r="H711" s="4"/>
      <c r="J711" s="4"/>
      <c r="N711" s="4"/>
      <c r="AA711" s="4"/>
    </row>
    <row r="712" ht="12.75" customHeight="1">
      <c r="C712" s="4"/>
      <c r="D712" s="4"/>
      <c r="H712" s="4"/>
      <c r="J712" s="4"/>
      <c r="N712" s="4"/>
      <c r="AA712" s="4"/>
    </row>
    <row r="713" ht="12.75" customHeight="1">
      <c r="C713" s="4"/>
      <c r="D713" s="4"/>
      <c r="H713" s="4"/>
      <c r="J713" s="4"/>
      <c r="N713" s="4"/>
      <c r="AA713" s="4"/>
    </row>
    <row r="714" ht="12.75" customHeight="1">
      <c r="C714" s="4"/>
      <c r="D714" s="4"/>
      <c r="H714" s="4"/>
      <c r="J714" s="4"/>
      <c r="N714" s="4"/>
      <c r="AA714" s="4"/>
    </row>
    <row r="715" ht="12.75" customHeight="1">
      <c r="C715" s="4"/>
      <c r="D715" s="4"/>
      <c r="H715" s="4"/>
      <c r="J715" s="4"/>
      <c r="N715" s="4"/>
      <c r="AA715" s="4"/>
    </row>
    <row r="716" ht="12.75" customHeight="1">
      <c r="C716" s="4"/>
      <c r="D716" s="4"/>
      <c r="H716" s="4"/>
      <c r="J716" s="4"/>
      <c r="N716" s="4"/>
      <c r="AA716" s="4"/>
    </row>
    <row r="717" ht="12.75" customHeight="1">
      <c r="C717" s="4"/>
      <c r="D717" s="4"/>
      <c r="H717" s="4"/>
      <c r="J717" s="4"/>
      <c r="N717" s="4"/>
      <c r="AA717" s="4"/>
    </row>
    <row r="718" ht="12.75" customHeight="1">
      <c r="C718" s="4"/>
      <c r="D718" s="4"/>
      <c r="H718" s="4"/>
      <c r="J718" s="4"/>
      <c r="N718" s="4"/>
      <c r="AA718" s="4"/>
    </row>
    <row r="719" ht="12.75" customHeight="1">
      <c r="C719" s="4"/>
      <c r="D719" s="4"/>
      <c r="H719" s="4"/>
      <c r="J719" s="4"/>
      <c r="N719" s="4"/>
      <c r="AA719" s="4"/>
    </row>
    <row r="720" ht="12.75" customHeight="1">
      <c r="C720" s="4"/>
      <c r="D720" s="4"/>
      <c r="H720" s="4"/>
      <c r="J720" s="4"/>
      <c r="N720" s="4"/>
      <c r="AA720" s="4"/>
    </row>
    <row r="721" ht="12.75" customHeight="1">
      <c r="C721" s="4"/>
      <c r="D721" s="4"/>
      <c r="H721" s="4"/>
      <c r="J721" s="4"/>
      <c r="N721" s="4"/>
      <c r="AA721" s="4"/>
    </row>
    <row r="722" ht="12.75" customHeight="1">
      <c r="C722" s="4"/>
      <c r="D722" s="4"/>
      <c r="H722" s="4"/>
      <c r="J722" s="4"/>
      <c r="N722" s="4"/>
      <c r="AA722" s="4"/>
    </row>
    <row r="723" ht="12.75" customHeight="1">
      <c r="C723" s="4"/>
      <c r="D723" s="4"/>
      <c r="H723" s="4"/>
      <c r="J723" s="4"/>
      <c r="N723" s="4"/>
      <c r="AA723" s="4"/>
    </row>
    <row r="724" ht="12.75" customHeight="1">
      <c r="C724" s="4"/>
      <c r="D724" s="4"/>
      <c r="H724" s="4"/>
      <c r="J724" s="4"/>
      <c r="N724" s="4"/>
      <c r="AA724" s="4"/>
    </row>
    <row r="725" ht="12.75" customHeight="1">
      <c r="C725" s="4"/>
      <c r="D725" s="4"/>
      <c r="H725" s="4"/>
      <c r="J725" s="4"/>
      <c r="N725" s="4"/>
      <c r="AA725" s="4"/>
    </row>
    <row r="726" ht="12.75" customHeight="1">
      <c r="C726" s="4"/>
      <c r="D726" s="4"/>
      <c r="H726" s="4"/>
      <c r="J726" s="4"/>
      <c r="N726" s="4"/>
      <c r="AA726" s="4"/>
    </row>
    <row r="727" ht="12.75" customHeight="1">
      <c r="C727" s="4"/>
      <c r="D727" s="4"/>
      <c r="H727" s="4"/>
      <c r="J727" s="4"/>
      <c r="N727" s="4"/>
      <c r="AA727" s="4"/>
    </row>
    <row r="728" ht="12.75" customHeight="1">
      <c r="C728" s="4"/>
      <c r="D728" s="4"/>
      <c r="H728" s="4"/>
      <c r="J728" s="4"/>
      <c r="N728" s="4"/>
      <c r="AA728" s="4"/>
    </row>
    <row r="729" ht="12.75" customHeight="1">
      <c r="C729" s="4"/>
      <c r="D729" s="4"/>
      <c r="H729" s="4"/>
      <c r="J729" s="4"/>
      <c r="N729" s="4"/>
      <c r="AA729" s="4"/>
    </row>
    <row r="730" ht="12.75" customHeight="1">
      <c r="C730" s="4"/>
      <c r="D730" s="4"/>
      <c r="H730" s="4"/>
      <c r="J730" s="4"/>
      <c r="N730" s="4"/>
      <c r="AA730" s="4"/>
    </row>
    <row r="731" ht="12.75" customHeight="1">
      <c r="C731" s="4"/>
      <c r="D731" s="4"/>
      <c r="H731" s="4"/>
      <c r="J731" s="4"/>
      <c r="N731" s="4"/>
      <c r="AA731" s="4"/>
    </row>
    <row r="732" ht="12.75" customHeight="1">
      <c r="C732" s="4"/>
      <c r="D732" s="4"/>
      <c r="H732" s="4"/>
      <c r="J732" s="4"/>
      <c r="N732" s="4"/>
      <c r="AA732" s="4"/>
    </row>
    <row r="733" ht="12.75" customHeight="1">
      <c r="C733" s="4"/>
      <c r="D733" s="4"/>
      <c r="H733" s="4"/>
      <c r="J733" s="4"/>
      <c r="N733" s="4"/>
      <c r="AA733" s="4"/>
    </row>
    <row r="734" ht="12.75" customHeight="1">
      <c r="C734" s="4"/>
      <c r="D734" s="4"/>
      <c r="H734" s="4"/>
      <c r="J734" s="4"/>
      <c r="N734" s="4"/>
      <c r="AA734" s="4"/>
    </row>
    <row r="735" ht="12.75" customHeight="1">
      <c r="C735" s="4"/>
      <c r="D735" s="4"/>
      <c r="H735" s="4"/>
      <c r="J735" s="4"/>
      <c r="N735" s="4"/>
      <c r="AA735" s="4"/>
    </row>
    <row r="736" ht="12.75" customHeight="1">
      <c r="C736" s="4"/>
      <c r="D736" s="4"/>
      <c r="H736" s="4"/>
      <c r="J736" s="4"/>
      <c r="N736" s="4"/>
      <c r="AA736" s="4"/>
    </row>
    <row r="737" ht="12.75" customHeight="1">
      <c r="C737" s="4"/>
      <c r="D737" s="4"/>
      <c r="H737" s="4"/>
      <c r="J737" s="4"/>
      <c r="N737" s="4"/>
      <c r="AA737" s="4"/>
    </row>
    <row r="738" ht="12.75" customHeight="1">
      <c r="C738" s="4"/>
      <c r="D738" s="4"/>
      <c r="H738" s="4"/>
      <c r="J738" s="4"/>
      <c r="N738" s="4"/>
      <c r="AA738" s="4"/>
    </row>
    <row r="739" ht="12.75" customHeight="1">
      <c r="C739" s="4"/>
      <c r="D739" s="4"/>
      <c r="H739" s="4"/>
      <c r="J739" s="4"/>
      <c r="N739" s="4"/>
      <c r="AA739" s="4"/>
    </row>
    <row r="740" ht="12.75" customHeight="1">
      <c r="C740" s="4"/>
      <c r="D740" s="4"/>
      <c r="H740" s="4"/>
      <c r="J740" s="4"/>
      <c r="N740" s="4"/>
      <c r="AA740" s="4"/>
    </row>
    <row r="741" ht="12.75" customHeight="1">
      <c r="C741" s="4"/>
      <c r="D741" s="4"/>
      <c r="H741" s="4"/>
      <c r="J741" s="4"/>
      <c r="N741" s="4"/>
      <c r="AA741" s="4"/>
    </row>
    <row r="742" ht="12.75" customHeight="1">
      <c r="C742" s="4"/>
      <c r="D742" s="4"/>
      <c r="H742" s="4"/>
      <c r="J742" s="4"/>
      <c r="N742" s="4"/>
      <c r="AA742" s="4"/>
    </row>
    <row r="743" ht="12.75" customHeight="1">
      <c r="C743" s="4"/>
      <c r="D743" s="4"/>
      <c r="H743" s="4"/>
      <c r="J743" s="4"/>
      <c r="N743" s="4"/>
      <c r="AA743" s="4"/>
    </row>
    <row r="744" ht="12.75" customHeight="1">
      <c r="C744" s="4"/>
      <c r="D744" s="4"/>
      <c r="H744" s="4"/>
      <c r="J744" s="4"/>
      <c r="N744" s="4"/>
      <c r="AA744" s="4"/>
    </row>
    <row r="745" ht="12.75" customHeight="1">
      <c r="C745" s="4"/>
      <c r="D745" s="4"/>
      <c r="H745" s="4"/>
      <c r="J745" s="4"/>
      <c r="N745" s="4"/>
      <c r="AA745" s="4"/>
    </row>
    <row r="746" ht="12.75" customHeight="1">
      <c r="C746" s="4"/>
      <c r="D746" s="4"/>
      <c r="H746" s="4"/>
      <c r="J746" s="4"/>
      <c r="N746" s="4"/>
      <c r="AA746" s="4"/>
    </row>
    <row r="747" ht="12.75" customHeight="1">
      <c r="C747" s="4"/>
      <c r="D747" s="4"/>
      <c r="H747" s="4"/>
      <c r="J747" s="4"/>
      <c r="N747" s="4"/>
      <c r="AA747" s="4"/>
    </row>
    <row r="748" ht="12.75" customHeight="1">
      <c r="C748" s="4"/>
      <c r="D748" s="4"/>
      <c r="H748" s="4"/>
      <c r="J748" s="4"/>
      <c r="N748" s="4"/>
      <c r="AA748" s="4"/>
    </row>
    <row r="749" ht="12.75" customHeight="1">
      <c r="C749" s="4"/>
      <c r="D749" s="4"/>
      <c r="H749" s="4"/>
      <c r="J749" s="4"/>
      <c r="N749" s="4"/>
      <c r="AA749" s="4"/>
    </row>
    <row r="750" ht="12.75" customHeight="1">
      <c r="C750" s="4"/>
      <c r="D750" s="4"/>
      <c r="H750" s="4"/>
      <c r="J750" s="4"/>
      <c r="N750" s="4"/>
      <c r="AA750" s="4"/>
    </row>
    <row r="751" ht="12.75" customHeight="1">
      <c r="C751" s="4"/>
      <c r="D751" s="4"/>
      <c r="H751" s="4"/>
      <c r="J751" s="4"/>
      <c r="N751" s="4"/>
      <c r="AA751" s="4"/>
    </row>
    <row r="752" ht="12.75" customHeight="1">
      <c r="C752" s="4"/>
      <c r="D752" s="4"/>
      <c r="H752" s="4"/>
      <c r="J752" s="4"/>
      <c r="N752" s="4"/>
      <c r="AA752" s="4"/>
    </row>
    <row r="753" ht="12.75" customHeight="1">
      <c r="C753" s="4"/>
      <c r="D753" s="4"/>
      <c r="H753" s="4"/>
      <c r="J753" s="4"/>
      <c r="N753" s="4"/>
      <c r="AA753" s="4"/>
    </row>
    <row r="754" ht="12.75" customHeight="1">
      <c r="C754" s="4"/>
      <c r="D754" s="4"/>
      <c r="H754" s="4"/>
      <c r="J754" s="4"/>
      <c r="N754" s="4"/>
      <c r="AA754" s="4"/>
    </row>
    <row r="755" ht="12.75" customHeight="1">
      <c r="C755" s="4"/>
      <c r="D755" s="4"/>
      <c r="H755" s="4"/>
      <c r="J755" s="4"/>
      <c r="N755" s="4"/>
      <c r="AA755" s="4"/>
    </row>
    <row r="756" ht="12.75" customHeight="1">
      <c r="C756" s="4"/>
      <c r="D756" s="4"/>
      <c r="H756" s="4"/>
      <c r="J756" s="4"/>
      <c r="N756" s="4"/>
      <c r="AA756" s="4"/>
    </row>
    <row r="757" ht="12.75" customHeight="1">
      <c r="C757" s="4"/>
      <c r="D757" s="4"/>
      <c r="H757" s="4"/>
      <c r="J757" s="4"/>
      <c r="N757" s="4"/>
      <c r="AA757" s="4"/>
    </row>
    <row r="758" ht="12.75" customHeight="1">
      <c r="C758" s="4"/>
      <c r="D758" s="4"/>
      <c r="H758" s="4"/>
      <c r="J758" s="4"/>
      <c r="N758" s="4"/>
      <c r="AA758" s="4"/>
    </row>
    <row r="759" ht="12.75" customHeight="1">
      <c r="C759" s="4"/>
      <c r="D759" s="4"/>
      <c r="H759" s="4"/>
      <c r="J759" s="4"/>
      <c r="N759" s="4"/>
      <c r="AA759" s="4"/>
    </row>
    <row r="760" ht="12.75" customHeight="1">
      <c r="C760" s="4"/>
      <c r="D760" s="4"/>
      <c r="H760" s="4"/>
      <c r="J760" s="4"/>
      <c r="N760" s="4"/>
      <c r="AA760" s="4"/>
    </row>
    <row r="761" ht="12.75" customHeight="1">
      <c r="C761" s="4"/>
      <c r="D761" s="4"/>
      <c r="H761" s="4"/>
      <c r="J761" s="4"/>
      <c r="N761" s="4"/>
      <c r="AA761" s="4"/>
    </row>
    <row r="762" ht="12.75" customHeight="1">
      <c r="C762" s="4"/>
      <c r="D762" s="4"/>
      <c r="H762" s="4"/>
      <c r="J762" s="4"/>
      <c r="N762" s="4"/>
      <c r="AA762" s="4"/>
    </row>
    <row r="763" ht="12.75" customHeight="1">
      <c r="C763" s="4"/>
      <c r="D763" s="4"/>
      <c r="H763" s="4"/>
      <c r="J763" s="4"/>
      <c r="N763" s="4"/>
      <c r="AA763" s="4"/>
    </row>
    <row r="764" ht="12.75" customHeight="1">
      <c r="C764" s="4"/>
      <c r="D764" s="4"/>
      <c r="H764" s="4"/>
      <c r="J764" s="4"/>
      <c r="N764" s="4"/>
      <c r="AA764" s="4"/>
    </row>
    <row r="765" ht="12.75" customHeight="1">
      <c r="C765" s="4"/>
      <c r="D765" s="4"/>
      <c r="H765" s="4"/>
      <c r="J765" s="4"/>
      <c r="N765" s="4"/>
      <c r="AA765" s="4"/>
    </row>
    <row r="766" ht="12.75" customHeight="1">
      <c r="C766" s="4"/>
      <c r="D766" s="4"/>
      <c r="H766" s="4"/>
      <c r="J766" s="4"/>
      <c r="N766" s="4"/>
      <c r="AA766" s="4"/>
    </row>
    <row r="767" ht="12.75" customHeight="1">
      <c r="C767" s="4"/>
      <c r="D767" s="4"/>
      <c r="H767" s="4"/>
      <c r="J767" s="4"/>
      <c r="N767" s="4"/>
      <c r="AA767" s="4"/>
    </row>
    <row r="768" ht="12.75" customHeight="1">
      <c r="C768" s="4"/>
      <c r="D768" s="4"/>
      <c r="H768" s="4"/>
      <c r="J768" s="4"/>
      <c r="N768" s="4"/>
      <c r="AA768" s="4"/>
    </row>
    <row r="769" ht="12.75" customHeight="1">
      <c r="C769" s="4"/>
      <c r="D769" s="4"/>
      <c r="H769" s="4"/>
      <c r="J769" s="4"/>
      <c r="N769" s="4"/>
      <c r="AA769" s="4"/>
    </row>
    <row r="770" ht="12.75" customHeight="1">
      <c r="C770" s="4"/>
      <c r="D770" s="4"/>
      <c r="H770" s="4"/>
      <c r="J770" s="4"/>
      <c r="N770" s="4"/>
      <c r="AA770" s="4"/>
    </row>
    <row r="771" ht="12.75" customHeight="1">
      <c r="C771" s="4"/>
      <c r="D771" s="4"/>
      <c r="H771" s="4"/>
      <c r="J771" s="4"/>
      <c r="N771" s="4"/>
      <c r="AA771" s="4"/>
    </row>
    <row r="772" ht="12.75" customHeight="1">
      <c r="C772" s="4"/>
      <c r="D772" s="4"/>
      <c r="H772" s="4"/>
      <c r="J772" s="4"/>
      <c r="N772" s="4"/>
      <c r="AA772" s="4"/>
    </row>
    <row r="773" ht="12.75" customHeight="1">
      <c r="C773" s="4"/>
      <c r="D773" s="4"/>
      <c r="H773" s="4"/>
      <c r="J773" s="4"/>
      <c r="N773" s="4"/>
      <c r="AA773" s="4"/>
    </row>
    <row r="774" ht="12.75" customHeight="1">
      <c r="C774" s="4"/>
      <c r="D774" s="4"/>
      <c r="H774" s="4"/>
      <c r="J774" s="4"/>
      <c r="N774" s="4"/>
      <c r="AA774" s="4"/>
    </row>
    <row r="775" ht="12.75" customHeight="1">
      <c r="C775" s="4"/>
      <c r="D775" s="4"/>
      <c r="H775" s="4"/>
      <c r="J775" s="4"/>
      <c r="N775" s="4"/>
      <c r="AA775" s="4"/>
    </row>
    <row r="776" ht="12.75" customHeight="1">
      <c r="C776" s="4"/>
      <c r="D776" s="4"/>
      <c r="H776" s="4"/>
      <c r="J776" s="4"/>
      <c r="N776" s="4"/>
      <c r="AA776" s="4"/>
    </row>
    <row r="777" ht="12.75" customHeight="1">
      <c r="C777" s="4"/>
      <c r="D777" s="4"/>
      <c r="H777" s="4"/>
      <c r="J777" s="4"/>
      <c r="N777" s="4"/>
      <c r="AA777" s="4"/>
    </row>
    <row r="778" ht="12.75" customHeight="1">
      <c r="C778" s="4"/>
      <c r="D778" s="4"/>
      <c r="H778" s="4"/>
      <c r="J778" s="4"/>
      <c r="N778" s="4"/>
      <c r="AA778" s="4"/>
    </row>
    <row r="779" ht="12.75" customHeight="1">
      <c r="C779" s="4"/>
      <c r="D779" s="4"/>
      <c r="H779" s="4"/>
      <c r="J779" s="4"/>
      <c r="N779" s="4"/>
      <c r="AA779" s="4"/>
    </row>
    <row r="780" ht="12.75" customHeight="1">
      <c r="C780" s="4"/>
      <c r="D780" s="4"/>
      <c r="H780" s="4"/>
      <c r="J780" s="4"/>
      <c r="N780" s="4"/>
      <c r="AA780" s="4"/>
    </row>
    <row r="781" ht="12.75" customHeight="1">
      <c r="C781" s="4"/>
      <c r="D781" s="4"/>
      <c r="H781" s="4"/>
      <c r="J781" s="4"/>
      <c r="N781" s="4"/>
      <c r="AA781" s="4"/>
    </row>
    <row r="782" ht="12.75" customHeight="1">
      <c r="C782" s="4"/>
      <c r="D782" s="4"/>
      <c r="H782" s="4"/>
      <c r="J782" s="4"/>
      <c r="N782" s="4"/>
      <c r="AA782" s="4"/>
    </row>
    <row r="783" ht="12.75" customHeight="1">
      <c r="C783" s="4"/>
      <c r="D783" s="4"/>
      <c r="H783" s="4"/>
      <c r="J783" s="4"/>
      <c r="N783" s="4"/>
      <c r="AA783" s="4"/>
    </row>
    <row r="784" ht="12.75" customHeight="1">
      <c r="C784" s="4"/>
      <c r="D784" s="4"/>
      <c r="H784" s="4"/>
      <c r="J784" s="4"/>
      <c r="N784" s="4"/>
      <c r="AA784" s="4"/>
    </row>
    <row r="785" ht="12.75" customHeight="1">
      <c r="C785" s="4"/>
      <c r="D785" s="4"/>
      <c r="H785" s="4"/>
      <c r="J785" s="4"/>
      <c r="N785" s="4"/>
      <c r="AA785" s="4"/>
    </row>
    <row r="786" ht="12.75" customHeight="1">
      <c r="C786" s="4"/>
      <c r="D786" s="4"/>
      <c r="H786" s="4"/>
      <c r="J786" s="4"/>
      <c r="N786" s="4"/>
      <c r="AA786" s="4"/>
    </row>
    <row r="787" ht="12.75" customHeight="1">
      <c r="C787" s="4"/>
      <c r="D787" s="4"/>
      <c r="H787" s="4"/>
      <c r="J787" s="4"/>
      <c r="N787" s="4"/>
      <c r="AA787" s="4"/>
    </row>
    <row r="788" ht="12.75" customHeight="1">
      <c r="C788" s="4"/>
      <c r="D788" s="4"/>
      <c r="H788" s="4"/>
      <c r="J788" s="4"/>
      <c r="N788" s="4"/>
      <c r="AA788" s="4"/>
    </row>
    <row r="789" ht="12.75" customHeight="1">
      <c r="C789" s="4"/>
      <c r="D789" s="4"/>
      <c r="H789" s="4"/>
      <c r="J789" s="4"/>
      <c r="N789" s="4"/>
      <c r="AA789" s="4"/>
    </row>
    <row r="790" ht="12.75" customHeight="1">
      <c r="C790" s="4"/>
      <c r="D790" s="4"/>
      <c r="H790" s="4"/>
      <c r="J790" s="4"/>
      <c r="N790" s="4"/>
      <c r="AA790" s="4"/>
    </row>
    <row r="791" ht="12.75" customHeight="1">
      <c r="C791" s="4"/>
      <c r="D791" s="4"/>
      <c r="H791" s="4"/>
      <c r="J791" s="4"/>
      <c r="N791" s="4"/>
      <c r="AA791" s="4"/>
    </row>
    <row r="792" ht="12.75" customHeight="1">
      <c r="C792" s="4"/>
      <c r="D792" s="4"/>
      <c r="H792" s="4"/>
      <c r="J792" s="4"/>
      <c r="N792" s="4"/>
      <c r="AA792" s="4"/>
    </row>
    <row r="793" ht="12.75" customHeight="1">
      <c r="C793" s="4"/>
      <c r="D793" s="4"/>
      <c r="H793" s="4"/>
      <c r="J793" s="4"/>
      <c r="N793" s="4"/>
      <c r="AA793" s="4"/>
    </row>
    <row r="794" ht="12.75" customHeight="1">
      <c r="C794" s="4"/>
      <c r="D794" s="4"/>
      <c r="H794" s="4"/>
      <c r="J794" s="4"/>
      <c r="N794" s="4"/>
      <c r="AA794" s="4"/>
    </row>
    <row r="795" ht="12.75" customHeight="1">
      <c r="C795" s="4"/>
      <c r="D795" s="4"/>
      <c r="H795" s="4"/>
      <c r="J795" s="4"/>
      <c r="N795" s="4"/>
      <c r="AA795" s="4"/>
    </row>
    <row r="796" ht="12.75" customHeight="1">
      <c r="C796" s="4"/>
      <c r="D796" s="4"/>
      <c r="H796" s="4"/>
      <c r="J796" s="4"/>
      <c r="N796" s="4"/>
      <c r="AA796" s="4"/>
    </row>
    <row r="797" ht="12.75" customHeight="1">
      <c r="C797" s="4"/>
      <c r="D797" s="4"/>
      <c r="H797" s="4"/>
      <c r="J797" s="4"/>
      <c r="N797" s="4"/>
      <c r="AA797" s="4"/>
    </row>
    <row r="798" ht="12.75" customHeight="1">
      <c r="C798" s="4"/>
      <c r="D798" s="4"/>
      <c r="H798" s="4"/>
      <c r="J798" s="4"/>
      <c r="N798" s="4"/>
      <c r="AA798" s="4"/>
    </row>
    <row r="799" ht="12.75" customHeight="1">
      <c r="C799" s="4"/>
      <c r="D799" s="4"/>
      <c r="H799" s="4"/>
      <c r="J799" s="4"/>
      <c r="N799" s="4"/>
      <c r="AA799" s="4"/>
    </row>
    <row r="800" ht="12.75" customHeight="1">
      <c r="C800" s="4"/>
      <c r="D800" s="4"/>
      <c r="H800" s="4"/>
      <c r="J800" s="4"/>
      <c r="N800" s="4"/>
      <c r="AA800" s="4"/>
    </row>
    <row r="801" ht="12.75" customHeight="1">
      <c r="C801" s="4"/>
      <c r="D801" s="4"/>
      <c r="H801" s="4"/>
      <c r="J801" s="4"/>
      <c r="N801" s="4"/>
      <c r="AA801" s="4"/>
    </row>
    <row r="802" ht="12.75" customHeight="1">
      <c r="C802" s="4"/>
      <c r="D802" s="4"/>
      <c r="H802" s="4"/>
      <c r="J802" s="4"/>
      <c r="N802" s="4"/>
      <c r="AA802" s="4"/>
    </row>
    <row r="803" ht="12.75" customHeight="1">
      <c r="C803" s="4"/>
      <c r="D803" s="4"/>
      <c r="H803" s="4"/>
      <c r="J803" s="4"/>
      <c r="N803" s="4"/>
      <c r="AA803" s="4"/>
    </row>
    <row r="804" ht="12.75" customHeight="1">
      <c r="C804" s="4"/>
      <c r="D804" s="4"/>
      <c r="H804" s="4"/>
      <c r="J804" s="4"/>
      <c r="N804" s="4"/>
      <c r="AA804" s="4"/>
    </row>
    <row r="805" ht="12.75" customHeight="1">
      <c r="C805" s="4"/>
      <c r="D805" s="4"/>
      <c r="H805" s="4"/>
      <c r="J805" s="4"/>
      <c r="N805" s="4"/>
      <c r="AA805" s="4"/>
    </row>
    <row r="806" ht="12.75" customHeight="1">
      <c r="C806" s="4"/>
      <c r="D806" s="4"/>
      <c r="H806" s="4"/>
      <c r="J806" s="4"/>
      <c r="N806" s="4"/>
      <c r="AA806" s="4"/>
    </row>
    <row r="807" ht="12.75" customHeight="1">
      <c r="C807" s="4"/>
      <c r="D807" s="4"/>
      <c r="H807" s="4"/>
      <c r="J807" s="4"/>
      <c r="N807" s="4"/>
      <c r="AA807" s="4"/>
    </row>
    <row r="808" ht="12.75" customHeight="1">
      <c r="C808" s="4"/>
      <c r="D808" s="4"/>
      <c r="H808" s="4"/>
      <c r="J808" s="4"/>
      <c r="N808" s="4"/>
      <c r="AA808" s="4"/>
    </row>
    <row r="809" ht="12.75" customHeight="1">
      <c r="C809" s="4"/>
      <c r="D809" s="4"/>
      <c r="H809" s="4"/>
      <c r="J809" s="4"/>
      <c r="N809" s="4"/>
      <c r="AA809" s="4"/>
    </row>
    <row r="810" ht="12.75" customHeight="1">
      <c r="C810" s="4"/>
      <c r="D810" s="4"/>
      <c r="H810" s="4"/>
      <c r="J810" s="4"/>
      <c r="N810" s="4"/>
      <c r="AA810" s="4"/>
    </row>
    <row r="811" ht="12.75" customHeight="1">
      <c r="C811" s="4"/>
      <c r="D811" s="4"/>
      <c r="H811" s="4"/>
      <c r="J811" s="4"/>
      <c r="N811" s="4"/>
      <c r="AA811" s="4"/>
    </row>
    <row r="812" ht="12.75" customHeight="1">
      <c r="C812" s="4"/>
      <c r="D812" s="4"/>
      <c r="H812" s="4"/>
      <c r="J812" s="4"/>
      <c r="N812" s="4"/>
      <c r="AA812" s="4"/>
    </row>
    <row r="813" ht="12.75" customHeight="1">
      <c r="C813" s="4"/>
      <c r="D813" s="4"/>
      <c r="H813" s="4"/>
      <c r="J813" s="4"/>
      <c r="N813" s="4"/>
      <c r="AA813" s="4"/>
    </row>
    <row r="814" ht="12.75" customHeight="1">
      <c r="C814" s="4"/>
      <c r="D814" s="4"/>
      <c r="H814" s="4"/>
      <c r="J814" s="4"/>
      <c r="N814" s="4"/>
      <c r="AA814" s="4"/>
    </row>
    <row r="815" ht="12.75" customHeight="1">
      <c r="C815" s="4"/>
      <c r="D815" s="4"/>
      <c r="H815" s="4"/>
      <c r="J815" s="4"/>
      <c r="N815" s="4"/>
      <c r="AA815" s="4"/>
    </row>
    <row r="816" ht="12.75" customHeight="1">
      <c r="C816" s="4"/>
      <c r="D816" s="4"/>
      <c r="H816" s="4"/>
      <c r="J816" s="4"/>
      <c r="N816" s="4"/>
      <c r="AA816" s="4"/>
    </row>
    <row r="817" ht="12.75" customHeight="1">
      <c r="C817" s="4"/>
      <c r="D817" s="4"/>
      <c r="H817" s="4"/>
      <c r="J817" s="4"/>
      <c r="N817" s="4"/>
      <c r="AA817" s="4"/>
    </row>
    <row r="818" ht="12.75" customHeight="1">
      <c r="C818" s="4"/>
      <c r="D818" s="4"/>
      <c r="H818" s="4"/>
      <c r="J818" s="4"/>
      <c r="N818" s="4"/>
      <c r="AA818" s="4"/>
    </row>
    <row r="819" ht="12.75" customHeight="1">
      <c r="C819" s="4"/>
      <c r="D819" s="4"/>
      <c r="H819" s="4"/>
      <c r="J819" s="4"/>
      <c r="N819" s="4"/>
      <c r="AA819" s="4"/>
    </row>
    <row r="820" ht="12.75" customHeight="1">
      <c r="C820" s="4"/>
      <c r="D820" s="4"/>
      <c r="H820" s="4"/>
      <c r="J820" s="4"/>
      <c r="N820" s="4"/>
      <c r="AA820" s="4"/>
    </row>
    <row r="821" ht="12.75" customHeight="1">
      <c r="C821" s="4"/>
      <c r="D821" s="4"/>
      <c r="H821" s="4"/>
      <c r="J821" s="4"/>
      <c r="N821" s="4"/>
      <c r="AA821" s="4"/>
    </row>
    <row r="822" ht="12.75" customHeight="1">
      <c r="C822" s="4"/>
      <c r="D822" s="4"/>
      <c r="H822" s="4"/>
      <c r="J822" s="4"/>
      <c r="N822" s="4"/>
      <c r="AA822" s="4"/>
    </row>
    <row r="823" ht="12.75" customHeight="1">
      <c r="C823" s="4"/>
      <c r="D823" s="4"/>
      <c r="H823" s="4"/>
      <c r="J823" s="4"/>
      <c r="N823" s="4"/>
      <c r="AA823" s="4"/>
    </row>
    <row r="824" ht="12.75" customHeight="1">
      <c r="C824" s="4"/>
      <c r="D824" s="4"/>
      <c r="H824" s="4"/>
      <c r="J824" s="4"/>
      <c r="N824" s="4"/>
      <c r="AA824" s="4"/>
    </row>
    <row r="825" ht="12.75" customHeight="1">
      <c r="C825" s="4"/>
      <c r="D825" s="4"/>
      <c r="H825" s="4"/>
      <c r="J825" s="4"/>
      <c r="N825" s="4"/>
      <c r="AA825" s="4"/>
    </row>
    <row r="826" ht="12.75" customHeight="1">
      <c r="C826" s="4"/>
      <c r="D826" s="4"/>
      <c r="H826" s="4"/>
      <c r="J826" s="4"/>
      <c r="N826" s="4"/>
      <c r="AA826" s="4"/>
    </row>
    <row r="827" ht="12.75" customHeight="1">
      <c r="C827" s="4"/>
      <c r="D827" s="4"/>
      <c r="H827" s="4"/>
      <c r="J827" s="4"/>
      <c r="N827" s="4"/>
      <c r="AA827" s="4"/>
    </row>
    <row r="828" ht="12.75" customHeight="1">
      <c r="C828" s="4"/>
      <c r="D828" s="4"/>
      <c r="H828" s="4"/>
      <c r="J828" s="4"/>
      <c r="N828" s="4"/>
      <c r="AA828" s="4"/>
    </row>
    <row r="829" ht="12.75" customHeight="1">
      <c r="C829" s="4"/>
      <c r="D829" s="4"/>
      <c r="H829" s="4"/>
      <c r="J829" s="4"/>
      <c r="N829" s="4"/>
      <c r="AA829" s="4"/>
    </row>
    <row r="830" ht="12.75" customHeight="1">
      <c r="C830" s="4"/>
      <c r="D830" s="4"/>
      <c r="H830" s="4"/>
      <c r="J830" s="4"/>
      <c r="N830" s="4"/>
      <c r="AA830" s="4"/>
    </row>
    <row r="831" ht="12.75" customHeight="1">
      <c r="C831" s="4"/>
      <c r="D831" s="4"/>
      <c r="H831" s="4"/>
      <c r="J831" s="4"/>
      <c r="N831" s="4"/>
      <c r="AA831" s="4"/>
    </row>
    <row r="832" ht="12.75" customHeight="1">
      <c r="C832" s="4"/>
      <c r="D832" s="4"/>
      <c r="H832" s="4"/>
      <c r="J832" s="4"/>
      <c r="N832" s="4"/>
      <c r="AA832" s="4"/>
    </row>
    <row r="833" ht="12.75" customHeight="1">
      <c r="C833" s="4"/>
      <c r="D833" s="4"/>
      <c r="H833" s="4"/>
      <c r="J833" s="4"/>
      <c r="N833" s="4"/>
      <c r="AA833" s="4"/>
    </row>
    <row r="834" ht="12.75" customHeight="1">
      <c r="C834" s="4"/>
      <c r="D834" s="4"/>
      <c r="H834" s="4"/>
      <c r="J834" s="4"/>
      <c r="N834" s="4"/>
      <c r="AA834" s="4"/>
    </row>
    <row r="835" ht="12.75" customHeight="1">
      <c r="C835" s="4"/>
      <c r="D835" s="4"/>
      <c r="H835" s="4"/>
      <c r="J835" s="4"/>
      <c r="N835" s="4"/>
      <c r="AA835" s="4"/>
    </row>
    <row r="836" ht="12.75" customHeight="1">
      <c r="C836" s="4"/>
      <c r="D836" s="4"/>
      <c r="H836" s="4"/>
      <c r="J836" s="4"/>
      <c r="N836" s="4"/>
      <c r="AA836" s="4"/>
    </row>
    <row r="837" ht="12.75" customHeight="1">
      <c r="C837" s="4"/>
      <c r="D837" s="4"/>
      <c r="H837" s="4"/>
      <c r="J837" s="4"/>
      <c r="N837" s="4"/>
      <c r="AA837" s="4"/>
    </row>
    <row r="838" ht="12.75" customHeight="1">
      <c r="C838" s="4"/>
      <c r="D838" s="4"/>
      <c r="H838" s="4"/>
      <c r="J838" s="4"/>
      <c r="N838" s="4"/>
      <c r="AA838" s="4"/>
    </row>
    <row r="839" ht="12.75" customHeight="1">
      <c r="C839" s="4"/>
      <c r="D839" s="4"/>
      <c r="H839" s="4"/>
      <c r="J839" s="4"/>
      <c r="N839" s="4"/>
      <c r="AA839" s="4"/>
    </row>
    <row r="840" ht="12.75" customHeight="1">
      <c r="C840" s="4"/>
      <c r="D840" s="4"/>
      <c r="H840" s="4"/>
      <c r="J840" s="4"/>
      <c r="N840" s="4"/>
      <c r="AA840" s="4"/>
    </row>
    <row r="841" ht="12.75" customHeight="1">
      <c r="C841" s="4"/>
      <c r="D841" s="4"/>
      <c r="H841" s="4"/>
      <c r="J841" s="4"/>
      <c r="N841" s="4"/>
      <c r="AA841" s="4"/>
    </row>
    <row r="842" ht="12.75" customHeight="1">
      <c r="C842" s="4"/>
      <c r="D842" s="4"/>
      <c r="H842" s="4"/>
      <c r="J842" s="4"/>
      <c r="N842" s="4"/>
      <c r="AA842" s="4"/>
    </row>
    <row r="843" ht="12.75" customHeight="1">
      <c r="C843" s="4"/>
      <c r="D843" s="4"/>
      <c r="H843" s="4"/>
      <c r="J843" s="4"/>
      <c r="N843" s="4"/>
      <c r="AA843" s="4"/>
    </row>
    <row r="844" ht="12.75" customHeight="1">
      <c r="C844" s="4"/>
      <c r="D844" s="4"/>
      <c r="H844" s="4"/>
      <c r="J844" s="4"/>
      <c r="N844" s="4"/>
      <c r="AA844" s="4"/>
    </row>
    <row r="845" ht="12.75" customHeight="1">
      <c r="C845" s="4"/>
      <c r="D845" s="4"/>
      <c r="H845" s="4"/>
      <c r="J845" s="4"/>
      <c r="N845" s="4"/>
      <c r="AA845" s="4"/>
    </row>
    <row r="846" ht="12.75" customHeight="1">
      <c r="C846" s="4"/>
      <c r="D846" s="4"/>
      <c r="H846" s="4"/>
      <c r="J846" s="4"/>
      <c r="N846" s="4"/>
      <c r="AA846" s="4"/>
    </row>
    <row r="847" ht="12.75" customHeight="1">
      <c r="C847" s="4"/>
      <c r="D847" s="4"/>
      <c r="H847" s="4"/>
      <c r="J847" s="4"/>
      <c r="N847" s="4"/>
      <c r="AA847" s="4"/>
    </row>
    <row r="848" ht="12.75" customHeight="1">
      <c r="C848" s="4"/>
      <c r="D848" s="4"/>
      <c r="H848" s="4"/>
      <c r="J848" s="4"/>
      <c r="N848" s="4"/>
      <c r="AA848" s="4"/>
    </row>
    <row r="849" ht="12.75" customHeight="1">
      <c r="C849" s="4"/>
      <c r="D849" s="4"/>
      <c r="H849" s="4"/>
      <c r="J849" s="4"/>
      <c r="N849" s="4"/>
      <c r="AA849" s="4"/>
    </row>
    <row r="850" ht="12.75" customHeight="1">
      <c r="C850" s="4"/>
      <c r="D850" s="4"/>
      <c r="H850" s="4"/>
      <c r="J850" s="4"/>
      <c r="N850" s="4"/>
      <c r="AA850" s="4"/>
    </row>
    <row r="851" ht="12.75" customHeight="1">
      <c r="C851" s="4"/>
      <c r="D851" s="4"/>
      <c r="H851" s="4"/>
      <c r="J851" s="4"/>
      <c r="N851" s="4"/>
      <c r="AA851" s="4"/>
    </row>
    <row r="852" ht="12.75" customHeight="1">
      <c r="C852" s="4"/>
      <c r="D852" s="4"/>
      <c r="H852" s="4"/>
      <c r="J852" s="4"/>
      <c r="N852" s="4"/>
      <c r="AA852" s="4"/>
    </row>
    <row r="853" ht="12.75" customHeight="1">
      <c r="C853" s="4"/>
      <c r="D853" s="4"/>
      <c r="H853" s="4"/>
      <c r="J853" s="4"/>
      <c r="N853" s="4"/>
      <c r="AA853" s="4"/>
    </row>
    <row r="854" ht="12.75" customHeight="1">
      <c r="C854" s="4"/>
      <c r="D854" s="4"/>
      <c r="H854" s="4"/>
      <c r="J854" s="4"/>
      <c r="N854" s="4"/>
      <c r="AA854" s="4"/>
    </row>
    <row r="855" ht="12.75" customHeight="1">
      <c r="C855" s="4"/>
      <c r="D855" s="4"/>
      <c r="H855" s="4"/>
      <c r="J855" s="4"/>
      <c r="N855" s="4"/>
      <c r="AA855" s="4"/>
    </row>
    <row r="856" ht="12.75" customHeight="1">
      <c r="C856" s="4"/>
      <c r="D856" s="4"/>
      <c r="H856" s="4"/>
      <c r="J856" s="4"/>
      <c r="N856" s="4"/>
      <c r="AA856" s="4"/>
    </row>
    <row r="857" ht="12.75" customHeight="1">
      <c r="C857" s="4"/>
      <c r="D857" s="4"/>
      <c r="H857" s="4"/>
      <c r="J857" s="4"/>
      <c r="N857" s="4"/>
      <c r="AA857" s="4"/>
    </row>
    <row r="858" ht="12.75" customHeight="1">
      <c r="C858" s="4"/>
      <c r="D858" s="4"/>
      <c r="H858" s="4"/>
      <c r="J858" s="4"/>
      <c r="N858" s="4"/>
      <c r="AA858" s="4"/>
    </row>
    <row r="859" ht="12.75" customHeight="1">
      <c r="C859" s="4"/>
      <c r="D859" s="4"/>
      <c r="H859" s="4"/>
      <c r="J859" s="4"/>
      <c r="N859" s="4"/>
      <c r="AA859" s="4"/>
    </row>
    <row r="860" ht="12.75" customHeight="1">
      <c r="C860" s="4"/>
      <c r="D860" s="4"/>
      <c r="H860" s="4"/>
      <c r="J860" s="4"/>
      <c r="N860" s="4"/>
      <c r="AA860" s="4"/>
    </row>
    <row r="861" ht="12.75" customHeight="1">
      <c r="C861" s="4"/>
      <c r="D861" s="4"/>
      <c r="H861" s="4"/>
      <c r="J861" s="4"/>
      <c r="N861" s="4"/>
      <c r="AA861" s="4"/>
    </row>
    <row r="862" ht="12.75" customHeight="1">
      <c r="C862" s="4"/>
      <c r="D862" s="4"/>
      <c r="H862" s="4"/>
      <c r="J862" s="4"/>
      <c r="N862" s="4"/>
      <c r="AA862" s="4"/>
    </row>
    <row r="863" ht="12.75" customHeight="1">
      <c r="C863" s="4"/>
      <c r="D863" s="4"/>
      <c r="H863" s="4"/>
      <c r="J863" s="4"/>
      <c r="N863" s="4"/>
      <c r="AA863" s="4"/>
    </row>
    <row r="864" ht="12.75" customHeight="1">
      <c r="C864" s="4"/>
      <c r="D864" s="4"/>
      <c r="H864" s="4"/>
      <c r="J864" s="4"/>
      <c r="N864" s="4"/>
      <c r="AA864" s="4"/>
    </row>
    <row r="865" ht="12.75" customHeight="1">
      <c r="C865" s="4"/>
      <c r="D865" s="4"/>
      <c r="H865" s="4"/>
      <c r="J865" s="4"/>
      <c r="N865" s="4"/>
      <c r="AA865" s="4"/>
    </row>
    <row r="866" ht="12.75" customHeight="1">
      <c r="C866" s="4"/>
      <c r="D866" s="4"/>
      <c r="H866" s="4"/>
      <c r="J866" s="4"/>
      <c r="N866" s="4"/>
      <c r="AA866" s="4"/>
    </row>
    <row r="867" ht="12.75" customHeight="1">
      <c r="C867" s="4"/>
      <c r="D867" s="4"/>
      <c r="H867" s="4"/>
      <c r="J867" s="4"/>
      <c r="N867" s="4"/>
      <c r="AA867" s="4"/>
    </row>
    <row r="868" ht="12.75" customHeight="1">
      <c r="C868" s="4"/>
      <c r="D868" s="4"/>
      <c r="H868" s="4"/>
      <c r="J868" s="4"/>
      <c r="N868" s="4"/>
      <c r="AA868" s="4"/>
    </row>
    <row r="869" ht="12.75" customHeight="1">
      <c r="C869" s="4"/>
      <c r="D869" s="4"/>
      <c r="H869" s="4"/>
      <c r="J869" s="4"/>
      <c r="N869" s="4"/>
      <c r="AA869" s="4"/>
    </row>
    <row r="870" ht="12.75" customHeight="1">
      <c r="C870" s="4"/>
      <c r="D870" s="4"/>
      <c r="H870" s="4"/>
      <c r="J870" s="4"/>
      <c r="N870" s="4"/>
      <c r="AA870" s="4"/>
    </row>
    <row r="871" ht="12.75" customHeight="1">
      <c r="C871" s="4"/>
      <c r="D871" s="4"/>
      <c r="H871" s="4"/>
      <c r="J871" s="4"/>
      <c r="N871" s="4"/>
      <c r="AA871" s="4"/>
    </row>
    <row r="872" ht="12.75" customHeight="1">
      <c r="C872" s="4"/>
      <c r="D872" s="4"/>
      <c r="H872" s="4"/>
      <c r="J872" s="4"/>
      <c r="N872" s="4"/>
      <c r="AA872" s="4"/>
    </row>
    <row r="873" ht="12.75" customHeight="1">
      <c r="C873" s="4"/>
      <c r="D873" s="4"/>
      <c r="H873" s="4"/>
      <c r="J873" s="4"/>
      <c r="N873" s="4"/>
      <c r="AA873" s="4"/>
    </row>
    <row r="874" ht="12.75" customHeight="1">
      <c r="C874" s="4"/>
      <c r="D874" s="4"/>
      <c r="H874" s="4"/>
      <c r="J874" s="4"/>
      <c r="N874" s="4"/>
      <c r="AA874" s="4"/>
    </row>
    <row r="875" ht="12.75" customHeight="1">
      <c r="C875" s="4"/>
      <c r="D875" s="4"/>
      <c r="H875" s="4"/>
      <c r="J875" s="4"/>
      <c r="N875" s="4"/>
      <c r="AA875" s="4"/>
    </row>
    <row r="876" ht="12.75" customHeight="1">
      <c r="C876" s="4"/>
      <c r="D876" s="4"/>
      <c r="H876" s="4"/>
      <c r="J876" s="4"/>
      <c r="N876" s="4"/>
      <c r="AA876" s="4"/>
    </row>
    <row r="877" ht="12.75" customHeight="1">
      <c r="C877" s="4"/>
      <c r="D877" s="4"/>
      <c r="H877" s="4"/>
      <c r="J877" s="4"/>
      <c r="N877" s="4"/>
      <c r="AA877" s="4"/>
    </row>
    <row r="878" ht="12.75" customHeight="1">
      <c r="C878" s="4"/>
      <c r="D878" s="4"/>
      <c r="H878" s="4"/>
      <c r="J878" s="4"/>
      <c r="N878" s="4"/>
      <c r="AA878" s="4"/>
    </row>
    <row r="879" ht="12.75" customHeight="1">
      <c r="C879" s="4"/>
      <c r="D879" s="4"/>
      <c r="H879" s="4"/>
      <c r="J879" s="4"/>
      <c r="N879" s="4"/>
      <c r="AA879" s="4"/>
    </row>
    <row r="880" ht="12.75" customHeight="1">
      <c r="C880" s="4"/>
      <c r="D880" s="4"/>
      <c r="H880" s="4"/>
      <c r="J880" s="4"/>
      <c r="N880" s="4"/>
      <c r="AA880" s="4"/>
    </row>
    <row r="881" ht="12.75" customHeight="1">
      <c r="C881" s="4"/>
      <c r="D881" s="4"/>
      <c r="H881" s="4"/>
      <c r="J881" s="4"/>
      <c r="N881" s="4"/>
      <c r="AA881" s="4"/>
    </row>
    <row r="882" ht="12.75" customHeight="1">
      <c r="C882" s="4"/>
      <c r="D882" s="4"/>
      <c r="H882" s="4"/>
      <c r="J882" s="4"/>
      <c r="N882" s="4"/>
      <c r="AA882" s="4"/>
    </row>
    <row r="883" ht="12.75" customHeight="1">
      <c r="C883" s="4"/>
      <c r="D883" s="4"/>
      <c r="H883" s="4"/>
      <c r="J883" s="4"/>
      <c r="N883" s="4"/>
      <c r="AA883" s="4"/>
    </row>
    <row r="884" ht="12.75" customHeight="1">
      <c r="C884" s="4"/>
      <c r="D884" s="4"/>
      <c r="H884" s="4"/>
      <c r="J884" s="4"/>
      <c r="N884" s="4"/>
      <c r="AA884" s="4"/>
    </row>
    <row r="885" ht="12.75" customHeight="1">
      <c r="C885" s="4"/>
      <c r="D885" s="4"/>
      <c r="H885" s="4"/>
      <c r="J885" s="4"/>
      <c r="N885" s="4"/>
      <c r="AA885" s="4"/>
    </row>
    <row r="886" ht="12.75" customHeight="1">
      <c r="C886" s="4"/>
      <c r="D886" s="4"/>
      <c r="H886" s="4"/>
      <c r="J886" s="4"/>
      <c r="N886" s="4"/>
      <c r="AA886" s="4"/>
    </row>
    <row r="887" ht="12.75" customHeight="1">
      <c r="C887" s="4"/>
      <c r="D887" s="4"/>
      <c r="H887" s="4"/>
      <c r="J887" s="4"/>
      <c r="N887" s="4"/>
      <c r="AA887" s="4"/>
    </row>
    <row r="888" ht="12.75" customHeight="1">
      <c r="C888" s="4"/>
      <c r="D888" s="4"/>
      <c r="H888" s="4"/>
      <c r="J888" s="4"/>
      <c r="N888" s="4"/>
      <c r="AA888" s="4"/>
    </row>
    <row r="889" ht="12.75" customHeight="1">
      <c r="C889" s="4"/>
      <c r="D889" s="4"/>
      <c r="H889" s="4"/>
      <c r="J889" s="4"/>
      <c r="N889" s="4"/>
      <c r="AA889" s="4"/>
    </row>
    <row r="890" ht="12.75" customHeight="1">
      <c r="C890" s="4"/>
      <c r="D890" s="4"/>
      <c r="H890" s="4"/>
      <c r="J890" s="4"/>
      <c r="N890" s="4"/>
      <c r="AA890" s="4"/>
    </row>
    <row r="891" ht="12.75" customHeight="1">
      <c r="C891" s="4"/>
      <c r="D891" s="4"/>
      <c r="H891" s="4"/>
      <c r="J891" s="4"/>
      <c r="N891" s="4"/>
      <c r="AA891" s="4"/>
    </row>
    <row r="892" ht="12.75" customHeight="1">
      <c r="C892" s="4"/>
      <c r="D892" s="4"/>
      <c r="H892" s="4"/>
      <c r="J892" s="4"/>
      <c r="N892" s="4"/>
      <c r="AA892" s="4"/>
    </row>
    <row r="893" ht="12.75" customHeight="1">
      <c r="C893" s="4"/>
      <c r="D893" s="4"/>
      <c r="H893" s="4"/>
      <c r="J893" s="4"/>
      <c r="N893" s="4"/>
      <c r="AA893" s="4"/>
    </row>
    <row r="894" ht="12.75" customHeight="1">
      <c r="C894" s="4"/>
      <c r="D894" s="4"/>
      <c r="H894" s="4"/>
      <c r="J894" s="4"/>
      <c r="N894" s="4"/>
      <c r="AA894" s="4"/>
    </row>
    <row r="895" ht="12.75" customHeight="1">
      <c r="C895" s="4"/>
      <c r="D895" s="4"/>
      <c r="H895" s="4"/>
      <c r="J895" s="4"/>
      <c r="N895" s="4"/>
      <c r="AA895" s="4"/>
    </row>
    <row r="896" ht="12.75" customHeight="1">
      <c r="C896" s="4"/>
      <c r="D896" s="4"/>
      <c r="H896" s="4"/>
      <c r="J896" s="4"/>
      <c r="N896" s="4"/>
      <c r="AA896" s="4"/>
    </row>
    <row r="897" ht="12.75" customHeight="1">
      <c r="C897" s="4"/>
      <c r="D897" s="4"/>
      <c r="H897" s="4"/>
      <c r="J897" s="4"/>
      <c r="N897" s="4"/>
      <c r="AA897" s="4"/>
    </row>
    <row r="898" ht="12.75" customHeight="1">
      <c r="C898" s="4"/>
      <c r="D898" s="4"/>
      <c r="H898" s="4"/>
      <c r="J898" s="4"/>
      <c r="N898" s="4"/>
      <c r="AA898" s="4"/>
    </row>
    <row r="899" ht="12.75" customHeight="1">
      <c r="C899" s="4"/>
      <c r="D899" s="4"/>
      <c r="H899" s="4"/>
      <c r="J899" s="4"/>
      <c r="N899" s="4"/>
      <c r="AA899" s="4"/>
    </row>
    <row r="900" ht="12.75" customHeight="1">
      <c r="C900" s="4"/>
      <c r="D900" s="4"/>
      <c r="H900" s="4"/>
      <c r="J900" s="4"/>
      <c r="N900" s="4"/>
      <c r="AA900" s="4"/>
    </row>
    <row r="901" ht="12.75" customHeight="1">
      <c r="C901" s="4"/>
      <c r="D901" s="4"/>
      <c r="H901" s="4"/>
      <c r="J901" s="4"/>
      <c r="N901" s="4"/>
      <c r="AA901" s="4"/>
    </row>
    <row r="902" ht="12.75" customHeight="1">
      <c r="C902" s="4"/>
      <c r="D902" s="4"/>
      <c r="H902" s="4"/>
      <c r="J902" s="4"/>
      <c r="N902" s="4"/>
      <c r="AA902" s="4"/>
    </row>
    <row r="903" ht="12.75" customHeight="1">
      <c r="C903" s="4"/>
      <c r="D903" s="4"/>
      <c r="H903" s="4"/>
      <c r="J903" s="4"/>
      <c r="N903" s="4"/>
      <c r="AA903" s="4"/>
    </row>
    <row r="904" ht="12.75" customHeight="1">
      <c r="C904" s="4"/>
      <c r="D904" s="4"/>
      <c r="H904" s="4"/>
      <c r="J904" s="4"/>
      <c r="N904" s="4"/>
      <c r="AA904" s="4"/>
    </row>
    <row r="905" ht="12.75" customHeight="1">
      <c r="C905" s="4"/>
      <c r="D905" s="4"/>
      <c r="H905" s="4"/>
      <c r="J905" s="4"/>
      <c r="N905" s="4"/>
      <c r="AA905" s="4"/>
    </row>
    <row r="906" ht="12.75" customHeight="1">
      <c r="C906" s="4"/>
      <c r="D906" s="4"/>
      <c r="H906" s="4"/>
      <c r="J906" s="4"/>
      <c r="N906" s="4"/>
      <c r="AA906" s="4"/>
    </row>
    <row r="907" ht="12.75" customHeight="1">
      <c r="C907" s="4"/>
      <c r="D907" s="4"/>
      <c r="H907" s="4"/>
      <c r="J907" s="4"/>
      <c r="N907" s="4"/>
      <c r="AA907" s="4"/>
    </row>
    <row r="908" ht="12.75" customHeight="1">
      <c r="C908" s="4"/>
      <c r="D908" s="4"/>
      <c r="H908" s="4"/>
      <c r="J908" s="4"/>
      <c r="N908" s="4"/>
      <c r="AA908" s="4"/>
    </row>
    <row r="909" ht="12.75" customHeight="1">
      <c r="C909" s="4"/>
      <c r="D909" s="4"/>
      <c r="H909" s="4"/>
      <c r="J909" s="4"/>
      <c r="N909" s="4"/>
      <c r="AA909" s="4"/>
    </row>
    <row r="910" ht="12.75" customHeight="1">
      <c r="C910" s="4"/>
      <c r="D910" s="4"/>
      <c r="H910" s="4"/>
      <c r="J910" s="4"/>
      <c r="N910" s="4"/>
      <c r="AA910" s="4"/>
    </row>
    <row r="911" ht="12.75" customHeight="1">
      <c r="C911" s="4"/>
      <c r="D911" s="4"/>
      <c r="H911" s="4"/>
      <c r="J911" s="4"/>
      <c r="N911" s="4"/>
      <c r="AA911" s="4"/>
    </row>
    <row r="912" ht="12.75" customHeight="1">
      <c r="C912" s="4"/>
      <c r="D912" s="4"/>
      <c r="H912" s="4"/>
      <c r="J912" s="4"/>
      <c r="N912" s="4"/>
      <c r="AA912" s="4"/>
    </row>
    <row r="913" ht="12.75" customHeight="1">
      <c r="C913" s="4"/>
      <c r="D913" s="4"/>
      <c r="H913" s="4"/>
      <c r="J913" s="4"/>
      <c r="N913" s="4"/>
      <c r="AA913" s="4"/>
    </row>
    <row r="914" ht="12.75" customHeight="1">
      <c r="C914" s="4"/>
      <c r="D914" s="4"/>
      <c r="H914" s="4"/>
      <c r="J914" s="4"/>
      <c r="N914" s="4"/>
      <c r="AA914" s="4"/>
    </row>
    <row r="915" ht="12.75" customHeight="1">
      <c r="C915" s="4"/>
      <c r="D915" s="4"/>
      <c r="H915" s="4"/>
      <c r="J915" s="4"/>
      <c r="N915" s="4"/>
      <c r="AA915" s="4"/>
    </row>
    <row r="916" ht="12.75" customHeight="1">
      <c r="C916" s="4"/>
      <c r="D916" s="4"/>
      <c r="H916" s="4"/>
      <c r="J916" s="4"/>
      <c r="N916" s="4"/>
      <c r="AA916" s="4"/>
    </row>
    <row r="917" ht="12.75" customHeight="1">
      <c r="C917" s="4"/>
      <c r="D917" s="4"/>
      <c r="H917" s="4"/>
      <c r="J917" s="4"/>
      <c r="N917" s="4"/>
      <c r="AA917" s="4"/>
    </row>
    <row r="918" ht="12.75" customHeight="1">
      <c r="C918" s="4"/>
      <c r="D918" s="4"/>
      <c r="H918" s="4"/>
      <c r="J918" s="4"/>
      <c r="N918" s="4"/>
      <c r="AA918" s="4"/>
    </row>
    <row r="919" ht="12.75" customHeight="1">
      <c r="C919" s="4"/>
      <c r="D919" s="4"/>
      <c r="H919" s="4"/>
      <c r="J919" s="4"/>
      <c r="N919" s="4"/>
      <c r="AA919" s="4"/>
    </row>
    <row r="920" ht="12.75" customHeight="1">
      <c r="C920" s="4"/>
      <c r="D920" s="4"/>
      <c r="H920" s="4"/>
      <c r="J920" s="4"/>
      <c r="N920" s="4"/>
      <c r="AA920" s="4"/>
    </row>
    <row r="921" ht="12.75" customHeight="1">
      <c r="C921" s="4"/>
      <c r="D921" s="4"/>
      <c r="H921" s="4"/>
      <c r="J921" s="4"/>
      <c r="N921" s="4"/>
      <c r="AA921" s="4"/>
    </row>
    <row r="922" ht="12.75" customHeight="1">
      <c r="C922" s="4"/>
      <c r="D922" s="4"/>
      <c r="H922" s="4"/>
      <c r="J922" s="4"/>
      <c r="N922" s="4"/>
      <c r="AA922" s="4"/>
    </row>
    <row r="923" ht="12.75" customHeight="1">
      <c r="C923" s="4"/>
      <c r="D923" s="4"/>
      <c r="H923" s="4"/>
      <c r="J923" s="4"/>
      <c r="N923" s="4"/>
      <c r="AA923" s="4"/>
    </row>
    <row r="924" ht="12.75" customHeight="1">
      <c r="C924" s="4"/>
      <c r="D924" s="4"/>
      <c r="H924" s="4"/>
      <c r="J924" s="4"/>
      <c r="N924" s="4"/>
      <c r="AA924" s="4"/>
    </row>
    <row r="925" ht="12.75" customHeight="1">
      <c r="C925" s="4"/>
      <c r="D925" s="4"/>
      <c r="H925" s="4"/>
      <c r="J925" s="4"/>
      <c r="N925" s="4"/>
      <c r="AA925" s="4"/>
    </row>
    <row r="926" ht="12.75" customHeight="1">
      <c r="C926" s="4"/>
      <c r="D926" s="4"/>
      <c r="H926" s="4"/>
      <c r="J926" s="4"/>
      <c r="N926" s="4"/>
      <c r="AA926" s="4"/>
    </row>
    <row r="927" ht="12.75" customHeight="1">
      <c r="C927" s="4"/>
      <c r="D927" s="4"/>
      <c r="H927" s="4"/>
      <c r="J927" s="4"/>
      <c r="N927" s="4"/>
      <c r="AA927" s="4"/>
    </row>
    <row r="928" ht="12.75" customHeight="1">
      <c r="C928" s="4"/>
      <c r="D928" s="4"/>
      <c r="H928" s="4"/>
      <c r="J928" s="4"/>
      <c r="N928" s="4"/>
      <c r="AA928" s="4"/>
    </row>
    <row r="929" ht="12.75" customHeight="1">
      <c r="C929" s="4"/>
      <c r="D929" s="4"/>
      <c r="H929" s="4"/>
      <c r="J929" s="4"/>
      <c r="N929" s="4"/>
      <c r="AA929" s="4"/>
    </row>
    <row r="930" ht="12.75" customHeight="1">
      <c r="C930" s="4"/>
      <c r="D930" s="4"/>
      <c r="H930" s="4"/>
      <c r="J930" s="4"/>
      <c r="N930" s="4"/>
      <c r="AA930" s="4"/>
    </row>
    <row r="931" ht="12.75" customHeight="1">
      <c r="C931" s="4"/>
      <c r="D931" s="4"/>
      <c r="H931" s="4"/>
      <c r="J931" s="4"/>
      <c r="N931" s="4"/>
      <c r="AA931" s="4"/>
    </row>
    <row r="932" ht="12.75" customHeight="1">
      <c r="C932" s="4"/>
      <c r="D932" s="4"/>
      <c r="H932" s="4"/>
      <c r="J932" s="4"/>
      <c r="N932" s="4"/>
      <c r="AA932" s="4"/>
    </row>
    <row r="933" ht="12.75" customHeight="1">
      <c r="C933" s="4"/>
      <c r="D933" s="4"/>
      <c r="H933" s="4"/>
      <c r="J933" s="4"/>
      <c r="N933" s="4"/>
      <c r="AA933" s="4"/>
    </row>
    <row r="934" ht="12.75" customHeight="1">
      <c r="C934" s="4"/>
      <c r="D934" s="4"/>
      <c r="H934" s="4"/>
      <c r="J934" s="4"/>
      <c r="N934" s="4"/>
      <c r="AA934" s="4"/>
    </row>
    <row r="935" ht="12.75" customHeight="1">
      <c r="C935" s="4"/>
      <c r="D935" s="4"/>
      <c r="H935" s="4"/>
      <c r="J935" s="4"/>
      <c r="N935" s="4"/>
      <c r="AA935" s="4"/>
    </row>
    <row r="936" ht="12.75" customHeight="1">
      <c r="C936" s="4"/>
      <c r="D936" s="4"/>
      <c r="H936" s="4"/>
      <c r="J936" s="4"/>
      <c r="N936" s="4"/>
      <c r="AA936" s="4"/>
    </row>
    <row r="937" ht="12.75" customHeight="1">
      <c r="C937" s="4"/>
      <c r="D937" s="4"/>
      <c r="H937" s="4"/>
      <c r="J937" s="4"/>
      <c r="N937" s="4"/>
      <c r="AA937" s="4"/>
    </row>
    <row r="938" ht="12.75" customHeight="1">
      <c r="C938" s="4"/>
      <c r="D938" s="4"/>
      <c r="H938" s="4"/>
      <c r="J938" s="4"/>
      <c r="N938" s="4"/>
      <c r="AA938" s="4"/>
    </row>
    <row r="939" ht="12.75" customHeight="1">
      <c r="C939" s="4"/>
      <c r="D939" s="4"/>
      <c r="H939" s="4"/>
      <c r="J939" s="4"/>
      <c r="N939" s="4"/>
      <c r="AA939" s="4"/>
    </row>
    <row r="940" ht="12.75" customHeight="1">
      <c r="C940" s="4"/>
      <c r="D940" s="4"/>
      <c r="H940" s="4"/>
      <c r="J940" s="4"/>
      <c r="N940" s="4"/>
      <c r="AA940" s="4"/>
    </row>
    <row r="941" ht="12.75" customHeight="1">
      <c r="C941" s="4"/>
      <c r="D941" s="4"/>
      <c r="H941" s="4"/>
      <c r="J941" s="4"/>
      <c r="N941" s="4"/>
      <c r="AA941" s="4"/>
    </row>
    <row r="942" ht="12.75" customHeight="1">
      <c r="C942" s="4"/>
      <c r="D942" s="4"/>
      <c r="H942" s="4"/>
      <c r="J942" s="4"/>
      <c r="N942" s="4"/>
      <c r="AA942" s="4"/>
    </row>
    <row r="943" ht="12.75" customHeight="1">
      <c r="C943" s="4"/>
      <c r="D943" s="4"/>
      <c r="H943" s="4"/>
      <c r="J943" s="4"/>
      <c r="N943" s="4"/>
      <c r="AA943" s="4"/>
    </row>
    <row r="944" ht="12.75" customHeight="1">
      <c r="C944" s="4"/>
      <c r="D944" s="4"/>
      <c r="H944" s="4"/>
      <c r="J944" s="4"/>
      <c r="N944" s="4"/>
      <c r="AA944" s="4"/>
    </row>
    <row r="945" ht="12.75" customHeight="1">
      <c r="C945" s="4"/>
      <c r="D945" s="4"/>
      <c r="H945" s="4"/>
      <c r="J945" s="4"/>
      <c r="N945" s="4"/>
      <c r="AA945" s="4"/>
    </row>
    <row r="946" ht="12.75" customHeight="1">
      <c r="C946" s="4"/>
      <c r="D946" s="4"/>
      <c r="H946" s="4"/>
      <c r="J946" s="4"/>
      <c r="N946" s="4"/>
      <c r="AA946" s="4"/>
    </row>
    <row r="947" ht="12.75" customHeight="1">
      <c r="C947" s="4"/>
      <c r="D947" s="4"/>
      <c r="H947" s="4"/>
      <c r="J947" s="4"/>
      <c r="N947" s="4"/>
      <c r="AA947" s="4"/>
    </row>
    <row r="948" ht="12.75" customHeight="1">
      <c r="C948" s="4"/>
      <c r="D948" s="4"/>
      <c r="H948" s="4"/>
      <c r="J948" s="4"/>
      <c r="N948" s="4"/>
      <c r="AA948" s="4"/>
    </row>
    <row r="949" ht="12.75" customHeight="1">
      <c r="C949" s="4"/>
      <c r="D949" s="4"/>
      <c r="H949" s="4"/>
      <c r="J949" s="4"/>
      <c r="N949" s="4"/>
      <c r="AA949" s="4"/>
    </row>
    <row r="950" ht="12.75" customHeight="1">
      <c r="C950" s="4"/>
      <c r="D950" s="4"/>
      <c r="H950" s="4"/>
      <c r="J950" s="4"/>
      <c r="N950" s="4"/>
      <c r="AA950" s="4"/>
    </row>
    <row r="951" ht="12.75" customHeight="1">
      <c r="C951" s="4"/>
      <c r="D951" s="4"/>
      <c r="H951" s="4"/>
      <c r="J951" s="4"/>
      <c r="N951" s="4"/>
      <c r="AA951" s="4"/>
    </row>
    <row r="952" ht="12.75" customHeight="1">
      <c r="C952" s="4"/>
      <c r="D952" s="4"/>
      <c r="H952" s="4"/>
      <c r="J952" s="4"/>
      <c r="N952" s="4"/>
      <c r="AA952" s="4"/>
    </row>
    <row r="953" ht="12.75" customHeight="1">
      <c r="C953" s="4"/>
      <c r="D953" s="4"/>
      <c r="H953" s="4"/>
      <c r="J953" s="4"/>
      <c r="N953" s="4"/>
      <c r="AA953" s="4"/>
    </row>
    <row r="954" ht="12.75" customHeight="1">
      <c r="C954" s="4"/>
      <c r="D954" s="4"/>
      <c r="H954" s="4"/>
      <c r="J954" s="4"/>
      <c r="N954" s="4"/>
      <c r="AA954" s="4"/>
    </row>
    <row r="955" ht="12.75" customHeight="1">
      <c r="C955" s="4"/>
      <c r="D955" s="4"/>
      <c r="H955" s="4"/>
      <c r="J955" s="4"/>
      <c r="N955" s="4"/>
      <c r="AA955" s="4"/>
    </row>
    <row r="956" ht="12.75" customHeight="1">
      <c r="C956" s="4"/>
      <c r="D956" s="4"/>
      <c r="H956" s="4"/>
      <c r="J956" s="4"/>
      <c r="N956" s="4"/>
      <c r="AA956" s="4"/>
    </row>
    <row r="957" ht="12.75" customHeight="1">
      <c r="C957" s="4"/>
      <c r="D957" s="4"/>
      <c r="H957" s="4"/>
      <c r="J957" s="4"/>
      <c r="N957" s="4"/>
      <c r="AA957" s="4"/>
    </row>
    <row r="958" ht="12.75" customHeight="1">
      <c r="C958" s="4"/>
      <c r="D958" s="4"/>
      <c r="H958" s="4"/>
      <c r="J958" s="4"/>
      <c r="N958" s="4"/>
      <c r="AA958" s="4"/>
    </row>
    <row r="959" ht="12.75" customHeight="1">
      <c r="C959" s="4"/>
      <c r="D959" s="4"/>
      <c r="H959" s="4"/>
      <c r="J959" s="4"/>
      <c r="N959" s="4"/>
      <c r="AA959" s="4"/>
    </row>
    <row r="960" ht="12.75" customHeight="1">
      <c r="C960" s="4"/>
      <c r="D960" s="4"/>
      <c r="H960" s="4"/>
      <c r="J960" s="4"/>
      <c r="N960" s="4"/>
      <c r="AA960" s="4"/>
    </row>
    <row r="961" ht="12.75" customHeight="1">
      <c r="C961" s="4"/>
      <c r="D961" s="4"/>
      <c r="H961" s="4"/>
      <c r="J961" s="4"/>
      <c r="N961" s="4"/>
      <c r="AA961" s="4"/>
    </row>
    <row r="962" ht="12.75" customHeight="1">
      <c r="C962" s="4"/>
      <c r="D962" s="4"/>
      <c r="H962" s="4"/>
      <c r="J962" s="4"/>
      <c r="N962" s="4"/>
      <c r="AA962" s="4"/>
    </row>
    <row r="963" ht="12.75" customHeight="1">
      <c r="C963" s="4"/>
      <c r="D963" s="4"/>
      <c r="H963" s="4"/>
      <c r="J963" s="4"/>
      <c r="N963" s="4"/>
      <c r="AA963" s="4"/>
    </row>
    <row r="964" ht="12.75" customHeight="1">
      <c r="C964" s="4"/>
      <c r="D964" s="4"/>
      <c r="H964" s="4"/>
      <c r="J964" s="4"/>
      <c r="N964" s="4"/>
      <c r="AA964" s="4"/>
    </row>
    <row r="965" ht="12.75" customHeight="1">
      <c r="C965" s="4"/>
      <c r="D965" s="4"/>
      <c r="H965" s="4"/>
      <c r="J965" s="4"/>
      <c r="N965" s="4"/>
      <c r="AA965" s="4"/>
    </row>
    <row r="966" ht="12.75" customHeight="1">
      <c r="C966" s="4"/>
      <c r="D966" s="4"/>
      <c r="H966" s="4"/>
      <c r="J966" s="4"/>
      <c r="N966" s="4"/>
      <c r="AA966" s="4"/>
    </row>
    <row r="967" ht="12.75" customHeight="1">
      <c r="C967" s="4"/>
      <c r="D967" s="4"/>
      <c r="H967" s="4"/>
      <c r="J967" s="4"/>
      <c r="N967" s="4"/>
      <c r="AA967" s="4"/>
    </row>
    <row r="968" ht="12.75" customHeight="1">
      <c r="C968" s="4"/>
      <c r="D968" s="4"/>
      <c r="H968" s="4"/>
      <c r="J968" s="4"/>
      <c r="N968" s="4"/>
      <c r="AA968" s="4"/>
    </row>
    <row r="969" ht="12.75" customHeight="1">
      <c r="C969" s="4"/>
      <c r="D969" s="4"/>
      <c r="H969" s="4"/>
      <c r="J969" s="4"/>
      <c r="N969" s="4"/>
      <c r="AA969" s="4"/>
    </row>
    <row r="970" ht="12.75" customHeight="1">
      <c r="C970" s="4"/>
      <c r="D970" s="4"/>
      <c r="H970" s="4"/>
      <c r="J970" s="4"/>
      <c r="N970" s="4"/>
      <c r="AA970" s="4"/>
    </row>
    <row r="971" ht="12.75" customHeight="1">
      <c r="C971" s="4"/>
      <c r="D971" s="4"/>
      <c r="H971" s="4"/>
      <c r="J971" s="4"/>
      <c r="N971" s="4"/>
      <c r="AA971" s="4"/>
    </row>
    <row r="972" ht="12.75" customHeight="1">
      <c r="C972" s="4"/>
      <c r="D972" s="4"/>
      <c r="H972" s="4"/>
      <c r="J972" s="4"/>
      <c r="N972" s="4"/>
      <c r="AA972" s="4"/>
    </row>
    <row r="973" ht="12.75" customHeight="1">
      <c r="C973" s="4"/>
      <c r="D973" s="4"/>
      <c r="H973" s="4"/>
      <c r="J973" s="4"/>
      <c r="N973" s="4"/>
      <c r="AA973" s="4"/>
    </row>
    <row r="974" ht="12.75" customHeight="1">
      <c r="C974" s="4"/>
      <c r="D974" s="4"/>
      <c r="H974" s="4"/>
      <c r="J974" s="4"/>
      <c r="N974" s="4"/>
      <c r="AA974" s="4"/>
    </row>
    <row r="975" ht="12.75" customHeight="1">
      <c r="C975" s="4"/>
      <c r="D975" s="4"/>
      <c r="H975" s="4"/>
      <c r="J975" s="4"/>
      <c r="N975" s="4"/>
      <c r="AA975" s="4"/>
    </row>
    <row r="976" ht="12.75" customHeight="1">
      <c r="C976" s="4"/>
      <c r="D976" s="4"/>
      <c r="H976" s="4"/>
      <c r="J976" s="4"/>
      <c r="N976" s="4"/>
      <c r="AA976" s="4"/>
    </row>
    <row r="977" ht="12.75" customHeight="1">
      <c r="C977" s="4"/>
      <c r="D977" s="4"/>
      <c r="H977" s="4"/>
      <c r="J977" s="4"/>
      <c r="N977" s="4"/>
      <c r="AA977" s="4"/>
    </row>
    <row r="978" ht="12.75" customHeight="1">
      <c r="C978" s="4"/>
      <c r="D978" s="4"/>
      <c r="H978" s="4"/>
      <c r="J978" s="4"/>
      <c r="N978" s="4"/>
      <c r="AA978" s="4"/>
    </row>
    <row r="979" ht="12.75" customHeight="1">
      <c r="C979" s="4"/>
      <c r="D979" s="4"/>
      <c r="H979" s="4"/>
      <c r="J979" s="4"/>
      <c r="N979" s="4"/>
      <c r="AA979" s="4"/>
    </row>
    <row r="980" ht="12.75" customHeight="1">
      <c r="C980" s="4"/>
      <c r="D980" s="4"/>
      <c r="H980" s="4"/>
      <c r="J980" s="4"/>
      <c r="N980" s="4"/>
      <c r="AA980" s="4"/>
    </row>
    <row r="981" ht="12.75" customHeight="1">
      <c r="C981" s="4"/>
      <c r="D981" s="4"/>
      <c r="H981" s="4"/>
      <c r="J981" s="4"/>
      <c r="N981" s="4"/>
      <c r="AA981" s="4"/>
    </row>
    <row r="982" ht="12.75" customHeight="1">
      <c r="C982" s="4"/>
      <c r="D982" s="4"/>
      <c r="H982" s="4"/>
      <c r="J982" s="4"/>
      <c r="N982" s="4"/>
      <c r="AA982" s="4"/>
    </row>
    <row r="983" ht="12.75" customHeight="1">
      <c r="C983" s="4"/>
      <c r="D983" s="4"/>
      <c r="H983" s="4"/>
      <c r="J983" s="4"/>
      <c r="N983" s="4"/>
      <c r="AA983" s="4"/>
    </row>
    <row r="984" ht="12.75" customHeight="1">
      <c r="C984" s="4"/>
      <c r="D984" s="4"/>
      <c r="H984" s="4"/>
      <c r="J984" s="4"/>
      <c r="N984" s="4"/>
      <c r="AA984" s="4"/>
    </row>
    <row r="985" ht="12.75" customHeight="1">
      <c r="C985" s="4"/>
      <c r="D985" s="4"/>
      <c r="H985" s="4"/>
      <c r="J985" s="4"/>
      <c r="N985" s="4"/>
      <c r="AA985" s="4"/>
    </row>
    <row r="986" ht="12.75" customHeight="1">
      <c r="C986" s="4"/>
      <c r="D986" s="4"/>
      <c r="H986" s="4"/>
      <c r="J986" s="4"/>
      <c r="N986" s="4"/>
      <c r="AA986" s="4"/>
    </row>
    <row r="987" ht="12.75" customHeight="1">
      <c r="C987" s="4"/>
      <c r="D987" s="4"/>
      <c r="H987" s="4"/>
      <c r="J987" s="4"/>
      <c r="N987" s="4"/>
      <c r="AA987" s="4"/>
    </row>
    <row r="988" ht="12.75" customHeight="1">
      <c r="C988" s="4"/>
      <c r="D988" s="4"/>
      <c r="H988" s="4"/>
      <c r="J988" s="4"/>
      <c r="N988" s="4"/>
      <c r="AA988" s="4"/>
    </row>
    <row r="989" ht="12.75" customHeight="1">
      <c r="C989" s="4"/>
      <c r="D989" s="4"/>
      <c r="H989" s="4"/>
      <c r="J989" s="4"/>
      <c r="N989" s="4"/>
      <c r="AA989" s="4"/>
    </row>
    <row r="990" ht="12.75" customHeight="1">
      <c r="C990" s="4"/>
      <c r="D990" s="4"/>
      <c r="H990" s="4"/>
      <c r="J990" s="4"/>
      <c r="N990" s="4"/>
      <c r="AA990" s="4"/>
    </row>
    <row r="991" ht="12.75" customHeight="1">
      <c r="C991" s="4"/>
      <c r="D991" s="4"/>
      <c r="H991" s="4"/>
      <c r="J991" s="4"/>
      <c r="N991" s="4"/>
      <c r="AA991" s="4"/>
    </row>
    <row r="992" ht="12.75" customHeight="1">
      <c r="C992" s="4"/>
      <c r="D992" s="4"/>
      <c r="H992" s="4"/>
      <c r="J992" s="4"/>
      <c r="N992" s="4"/>
      <c r="AA992" s="4"/>
    </row>
    <row r="993" ht="12.75" customHeight="1">
      <c r="C993" s="4"/>
      <c r="D993" s="4"/>
      <c r="H993" s="4"/>
      <c r="J993" s="4"/>
      <c r="N993" s="4"/>
      <c r="AA993" s="4"/>
    </row>
    <row r="994" ht="12.75" customHeight="1">
      <c r="C994" s="4"/>
      <c r="D994" s="4"/>
      <c r="H994" s="4"/>
      <c r="J994" s="4"/>
      <c r="N994" s="4"/>
      <c r="AA994" s="4"/>
    </row>
    <row r="995" ht="12.75" customHeight="1">
      <c r="C995" s="4"/>
      <c r="D995" s="4"/>
      <c r="H995" s="4"/>
      <c r="J995" s="4"/>
      <c r="N995" s="4"/>
      <c r="AA995" s="4"/>
    </row>
    <row r="996" ht="12.75" customHeight="1">
      <c r="C996" s="4"/>
      <c r="D996" s="4"/>
      <c r="H996" s="4"/>
      <c r="J996" s="4"/>
      <c r="N996" s="4"/>
      <c r="AA996" s="4"/>
    </row>
    <row r="997" ht="12.75" customHeight="1">
      <c r="C997" s="4"/>
      <c r="D997" s="4"/>
      <c r="H997" s="4"/>
      <c r="J997" s="4"/>
      <c r="N997" s="4"/>
      <c r="AA997" s="4"/>
    </row>
    <row r="998" ht="12.75" customHeight="1">
      <c r="C998" s="4"/>
      <c r="D998" s="4"/>
      <c r="H998" s="4"/>
      <c r="J998" s="4"/>
      <c r="N998" s="4"/>
      <c r="AA998" s="4"/>
    </row>
    <row r="999" ht="12.75" customHeight="1">
      <c r="C999" s="4"/>
      <c r="D999" s="4"/>
      <c r="H999" s="4"/>
      <c r="J999" s="4"/>
      <c r="N999" s="4"/>
      <c r="AA999" s="4"/>
    </row>
    <row r="1000" ht="12.75" customHeight="1">
      <c r="C1000" s="4"/>
      <c r="D1000" s="4"/>
      <c r="H1000" s="4"/>
      <c r="J1000" s="4"/>
      <c r="N1000" s="4"/>
      <c r="AA1000" s="4"/>
    </row>
  </sheetData>
  <mergeCells count="47">
    <mergeCell ref="B32:C32"/>
    <mergeCell ref="B33:C33"/>
    <mergeCell ref="B35:C35"/>
    <mergeCell ref="B34:C34"/>
    <mergeCell ref="B23:C23"/>
    <mergeCell ref="B25:C25"/>
    <mergeCell ref="B26:C26"/>
    <mergeCell ref="B27:C27"/>
    <mergeCell ref="B24:C24"/>
    <mergeCell ref="B36:C36"/>
    <mergeCell ref="B38:C38"/>
    <mergeCell ref="B37:C37"/>
    <mergeCell ref="C7:F7"/>
    <mergeCell ref="C8:F8"/>
    <mergeCell ref="G8:H8"/>
    <mergeCell ref="I8:J8"/>
    <mergeCell ref="C6:F6"/>
    <mergeCell ref="C2:F2"/>
    <mergeCell ref="C4:F4"/>
    <mergeCell ref="C5:F5"/>
    <mergeCell ref="C3:F3"/>
    <mergeCell ref="H16:K16"/>
    <mergeCell ref="H17:K17"/>
    <mergeCell ref="H15:K15"/>
    <mergeCell ref="H19:K19"/>
    <mergeCell ref="H18:K18"/>
    <mergeCell ref="BD20:BF20"/>
    <mergeCell ref="BO20:BQ20"/>
    <mergeCell ref="BZ20:CB20"/>
    <mergeCell ref="H13:K13"/>
    <mergeCell ref="H14:K14"/>
    <mergeCell ref="I11:J11"/>
    <mergeCell ref="H2:J2"/>
    <mergeCell ref="B28:C28"/>
    <mergeCell ref="B29:C29"/>
    <mergeCell ref="B30:C30"/>
    <mergeCell ref="B31:C31"/>
    <mergeCell ref="C15:F15"/>
    <mergeCell ref="C14:F14"/>
    <mergeCell ref="I9:J9"/>
    <mergeCell ref="I10:J10"/>
    <mergeCell ref="C16:F16"/>
    <mergeCell ref="C17:F17"/>
    <mergeCell ref="C18:F18"/>
    <mergeCell ref="B21:C21"/>
    <mergeCell ref="B22:C22"/>
    <mergeCell ref="C13:F13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5" width="8.0"/>
    <col customWidth="1" min="6" max="11" width="9.29"/>
    <col customWidth="1" min="12" max="12" width="9.57"/>
    <col customWidth="1" min="13" max="13" width="10.86"/>
    <col customWidth="1" min="14" max="40" width="8.0"/>
  </cols>
  <sheetData>
    <row r="1" ht="12.75" customHeight="1">
      <c r="F1" s="4"/>
      <c r="G1" s="4"/>
      <c r="H1" s="4"/>
      <c r="I1" s="4"/>
      <c r="J1" s="4"/>
      <c r="K1" s="4"/>
      <c r="L1" s="4"/>
      <c r="M1" s="4"/>
    </row>
    <row r="2" ht="12.75" customHeight="1">
      <c r="F2" s="4"/>
      <c r="G2" s="4"/>
      <c r="H2" s="4"/>
      <c r="I2" s="4"/>
      <c r="J2" s="4"/>
      <c r="K2" s="4"/>
      <c r="L2" s="4"/>
      <c r="M2" s="4"/>
    </row>
    <row r="3" ht="12.75" customHeight="1">
      <c r="B3" s="34" t="s">
        <v>133</v>
      </c>
      <c r="C3" s="11"/>
      <c r="D3" s="12"/>
      <c r="E3" s="35" t="str">
        <f>'расчет'!G6</f>
        <v>2</v>
      </c>
      <c r="F3" s="36"/>
      <c r="G3" s="36"/>
      <c r="H3" s="36"/>
      <c r="I3" s="36"/>
      <c r="J3" s="36"/>
      <c r="K3" s="36"/>
      <c r="L3" s="37"/>
      <c r="M3" s="4"/>
      <c r="AN3" s="38"/>
    </row>
    <row r="4" ht="12.75" customHeight="1">
      <c r="B4" s="34" t="s">
        <v>134</v>
      </c>
      <c r="C4" s="11"/>
      <c r="D4" s="12"/>
      <c r="E4" s="35" t="str">
        <f>'расчет'!G7</f>
        <v>6</v>
      </c>
      <c r="F4" s="1"/>
      <c r="G4" s="39" t="s">
        <v>135</v>
      </c>
      <c r="H4" s="11"/>
      <c r="I4" s="11"/>
      <c r="J4" s="12"/>
      <c r="K4" s="40" t="str">
        <f>'расчет'!G14</f>
        <v>401.08</v>
      </c>
      <c r="L4" s="12"/>
      <c r="M4" s="4"/>
      <c r="AN4" s="38"/>
    </row>
    <row r="5" ht="12.75" customHeight="1">
      <c r="B5" s="41" t="s">
        <v>136</v>
      </c>
      <c r="C5" s="11"/>
      <c r="D5" s="12"/>
      <c r="E5" s="42" t="str">
        <f>'расчет'!G5</f>
        <v>7</v>
      </c>
      <c r="F5" s="1"/>
      <c r="G5" s="34" t="s">
        <v>137</v>
      </c>
      <c r="H5" s="12"/>
      <c r="I5" s="42" t="str">
        <f>'расчет'!G4*1000</f>
        <v>2000</v>
      </c>
      <c r="J5" s="16" t="s">
        <v>138</v>
      </c>
      <c r="K5" s="1"/>
      <c r="L5" s="43"/>
      <c r="M5" s="4"/>
      <c r="AN5" s="38"/>
    </row>
    <row r="6" ht="12.75" customHeight="1">
      <c r="B6" s="41" t="s">
        <v>139</v>
      </c>
      <c r="C6" s="11"/>
      <c r="D6" s="12"/>
      <c r="E6" s="42" t="str">
        <f>'расчет'!G2</f>
        <v>160</v>
      </c>
      <c r="F6" s="44"/>
      <c r="G6" s="44"/>
      <c r="H6" s="44"/>
      <c r="I6" s="44"/>
      <c r="J6" s="44"/>
      <c r="K6" s="44"/>
      <c r="L6" s="45"/>
      <c r="M6" s="4"/>
      <c r="AN6" s="38"/>
    </row>
    <row r="7" ht="65.25" customHeight="1">
      <c r="B7" s="46" t="s">
        <v>140</v>
      </c>
      <c r="C7" s="46" t="s">
        <v>141</v>
      </c>
      <c r="D7" s="46" t="s">
        <v>142</v>
      </c>
      <c r="E7" s="46" t="s">
        <v>143</v>
      </c>
      <c r="F7" s="47" t="s">
        <v>144</v>
      </c>
      <c r="G7" s="47" t="s">
        <v>145</v>
      </c>
      <c r="H7" s="47" t="s">
        <v>146</v>
      </c>
      <c r="I7" s="47" t="s">
        <v>147</v>
      </c>
      <c r="J7" s="47" t="s">
        <v>134</v>
      </c>
      <c r="K7" s="48" t="s">
        <v>148</v>
      </c>
      <c r="L7" s="47" t="s">
        <v>149</v>
      </c>
      <c r="M7" s="49"/>
      <c r="AN7" s="46"/>
    </row>
    <row r="8" ht="12.75" customHeight="1">
      <c r="B8" s="50" t="str">
        <f>'расчет'!E42</f>
        <v>69.0</v>
      </c>
      <c r="C8" s="50" t="str">
        <f>'расчет'!F42</f>
        <v>50.0</v>
      </c>
      <c r="D8" s="28" t="str">
        <f t="shared" ref="D8:D28" si="1">B8+C8</f>
        <v>119.0</v>
      </c>
      <c r="E8" s="50">
        <v>0.0</v>
      </c>
      <c r="F8" s="51" t="s">
        <v>150</v>
      </c>
      <c r="G8" s="51" t="s">
        <v>150</v>
      </c>
      <c r="H8" s="51" t="s">
        <v>150</v>
      </c>
      <c r="I8" s="51" t="s">
        <v>150</v>
      </c>
      <c r="J8" s="51" t="s">
        <v>150</v>
      </c>
      <c r="K8" s="51" t="s">
        <v>150</v>
      </c>
      <c r="L8" s="51" t="s">
        <v>150</v>
      </c>
      <c r="M8" s="4"/>
      <c r="AN8" s="28" t="str">
        <f t="shared" ref="AN8:AN28" si="2">-C8</f>
        <v>-50.0</v>
      </c>
    </row>
    <row r="9" ht="12.75" customHeight="1">
      <c r="B9" s="50" t="str">
        <f>'расчет'!E41</f>
        <v>69.0</v>
      </c>
      <c r="C9" s="50" t="str">
        <f>'расчет'!F41</f>
        <v>50.0</v>
      </c>
      <c r="D9" s="28" t="str">
        <f t="shared" si="1"/>
        <v>119.0</v>
      </c>
      <c r="E9" s="50" t="str">
        <f t="shared" ref="E9:E11" si="3">(E10+E10-E11)</f>
        <v>50.0</v>
      </c>
      <c r="F9" s="51" t="s">
        <v>150</v>
      </c>
      <c r="G9" s="51" t="s">
        <v>150</v>
      </c>
      <c r="H9" s="51" t="s">
        <v>150</v>
      </c>
      <c r="I9" s="51" t="s">
        <v>150</v>
      </c>
      <c r="J9" s="51" t="s">
        <v>150</v>
      </c>
      <c r="K9" s="51" t="s">
        <v>150</v>
      </c>
      <c r="L9" s="51" t="s">
        <v>150</v>
      </c>
      <c r="M9" s="4"/>
      <c r="AN9" s="28" t="str">
        <f t="shared" si="2"/>
        <v>-50.0</v>
      </c>
    </row>
    <row r="10" ht="12.75" customHeight="1">
      <c r="B10" s="50" t="str">
        <f>'расчет'!E40</f>
        <v>69.0</v>
      </c>
      <c r="C10" s="50" t="str">
        <f>'расчет'!F40</f>
        <v>50.0</v>
      </c>
      <c r="D10" s="28" t="str">
        <f t="shared" si="1"/>
        <v>119.0</v>
      </c>
      <c r="E10" s="50" t="str">
        <f t="shared" si="3"/>
        <v>100.0</v>
      </c>
      <c r="F10" s="51" t="s">
        <v>150</v>
      </c>
      <c r="G10" s="51" t="s">
        <v>150</v>
      </c>
      <c r="H10" s="51" t="s">
        <v>150</v>
      </c>
      <c r="I10" s="51" t="s">
        <v>150</v>
      </c>
      <c r="J10" s="51" t="s">
        <v>150</v>
      </c>
      <c r="K10" s="51" t="s">
        <v>150</v>
      </c>
      <c r="L10" s="51" t="s">
        <v>150</v>
      </c>
      <c r="M10" s="4"/>
      <c r="AN10" s="28" t="str">
        <f t="shared" si="2"/>
        <v>-50.0</v>
      </c>
    </row>
    <row r="11" ht="12.75" customHeight="1">
      <c r="B11" s="50" t="str">
        <f>'расчет'!E39</f>
        <v>69.0</v>
      </c>
      <c r="C11" s="50" t="str">
        <f>'расчет'!F39</f>
        <v>50.0</v>
      </c>
      <c r="D11" s="28" t="str">
        <f t="shared" si="1"/>
        <v>119.0</v>
      </c>
      <c r="E11" s="50" t="str">
        <f t="shared" si="3"/>
        <v>150.0</v>
      </c>
      <c r="F11" s="51" t="s">
        <v>150</v>
      </c>
      <c r="G11" s="51" t="s">
        <v>150</v>
      </c>
      <c r="H11" s="51" t="s">
        <v>150</v>
      </c>
      <c r="I11" s="51" t="s">
        <v>150</v>
      </c>
      <c r="J11" s="51" t="s">
        <v>150</v>
      </c>
      <c r="K11" s="51" t="s">
        <v>150</v>
      </c>
      <c r="L11" s="51" t="s">
        <v>150</v>
      </c>
      <c r="M11" s="4"/>
      <c r="AN11" s="28" t="str">
        <f t="shared" si="2"/>
        <v>-50.0</v>
      </c>
    </row>
    <row r="12" ht="12.75" customHeight="1">
      <c r="B12" s="50" t="str">
        <f>'расчет'!E38+'расчет'!S61</f>
        <v>68.3</v>
      </c>
      <c r="C12" s="50" t="str">
        <f>'расчет'!F38-'расчет'!S61</f>
        <v>48.7</v>
      </c>
      <c r="D12" s="28" t="str">
        <f t="shared" si="1"/>
        <v>117.0</v>
      </c>
      <c r="E12" s="50" t="str">
        <f>'расчет'!D38*1000</f>
        <v>200.0</v>
      </c>
      <c r="F12" s="52" t="str">
        <f>'расчет'!AD38</f>
        <v>7.37</v>
      </c>
      <c r="G12" s="52" t="str">
        <f>'расчет'!S38*100</f>
        <v>19.14</v>
      </c>
      <c r="H12" s="52" t="str">
        <f>'расчет'!H38</f>
        <v>0.11</v>
      </c>
      <c r="I12" s="52" t="str">
        <f>'расчет'!AB18</f>
        <v>1.40</v>
      </c>
      <c r="J12" s="52" t="str">
        <f t="shared" ref="J12:J27" si="4">J13</f>
        <v>6.00</v>
      </c>
      <c r="K12" s="52" t="str">
        <f>'расчет'!AF18</f>
        <v>8.48</v>
      </c>
      <c r="L12" s="52" t="str">
        <f>'расчет'!R38</f>
        <v>61560.13</v>
      </c>
      <c r="M12" s="4"/>
      <c r="AN12" s="28" t="str">
        <f t="shared" si="2"/>
        <v>-48.7</v>
      </c>
    </row>
    <row r="13" ht="12.75" customHeight="1">
      <c r="B13" s="50" t="str">
        <f>'расчет'!E37+'расчет'!S60</f>
        <v>63.4</v>
      </c>
      <c r="C13" s="50" t="str">
        <f>'расчет'!F37-'расчет'!S60</f>
        <v>48.4</v>
      </c>
      <c r="D13" s="28" t="str">
        <f t="shared" si="1"/>
        <v>111.8</v>
      </c>
      <c r="E13" s="50" t="str">
        <f>'расчет'!D37*1000</f>
        <v>250.0</v>
      </c>
      <c r="F13" s="52" t="str">
        <f>'расчет'!AD37</f>
        <v>5.76</v>
      </c>
      <c r="G13" s="52" t="str">
        <f>'расчет'!S37*100</f>
        <v>18.22</v>
      </c>
      <c r="H13" s="52" t="str">
        <f>'расчет'!H37</f>
        <v>0.10</v>
      </c>
      <c r="I13" s="52" t="str">
        <f>'расчет'!AB17</f>
        <v>1.75</v>
      </c>
      <c r="J13" s="52" t="str">
        <f t="shared" si="4"/>
        <v>6.00</v>
      </c>
      <c r="K13" s="52" t="str">
        <f>'расчет'!AF17</f>
        <v>10.58</v>
      </c>
      <c r="L13" s="52" t="str">
        <f>'расчет'!R37</f>
        <v>74137.30</v>
      </c>
      <c r="M13" s="4"/>
      <c r="AN13" s="28" t="str">
        <f t="shared" si="2"/>
        <v>-48.4</v>
      </c>
    </row>
    <row r="14" ht="12.75" customHeight="1">
      <c r="B14" s="50" t="str">
        <f>'расчет'!E36+'расчет'!S59</f>
        <v>58.9</v>
      </c>
      <c r="C14" s="50" t="str">
        <f>'расчет'!F36-'расчет'!S59</f>
        <v>47.9</v>
      </c>
      <c r="D14" s="28" t="str">
        <f t="shared" si="1"/>
        <v>106.8</v>
      </c>
      <c r="E14" s="50" t="str">
        <f>'расчет'!D36*1000</f>
        <v>300.0</v>
      </c>
      <c r="F14" s="52" t="str">
        <f>'расчет'!AD36</f>
        <v>4.29</v>
      </c>
      <c r="G14" s="52" t="str">
        <f>'расчет'!S36*100</f>
        <v>17.34</v>
      </c>
      <c r="H14" s="52" t="str">
        <f>'расчет'!H36</f>
        <v>0.10</v>
      </c>
      <c r="I14" s="52" t="str">
        <f>'расчет'!AB16</f>
        <v>2.10</v>
      </c>
      <c r="J14" s="52" t="str">
        <f t="shared" si="4"/>
        <v>6.00</v>
      </c>
      <c r="K14" s="52" t="str">
        <f>'расчет'!AF16</f>
        <v>12.68</v>
      </c>
      <c r="L14" s="52" t="str">
        <f>'расчет'!R36</f>
        <v>85674.40</v>
      </c>
      <c r="M14" s="4"/>
      <c r="AN14" s="28" t="str">
        <f t="shared" si="2"/>
        <v>-47.9</v>
      </c>
    </row>
    <row r="15" ht="12.75" customHeight="1">
      <c r="B15" s="50" t="str">
        <f>'расчет'!E35+'расчет'!S58</f>
        <v>54.7</v>
      </c>
      <c r="C15" s="50" t="str">
        <f>'расчет'!F35-'расчет'!S58</f>
        <v>47.4</v>
      </c>
      <c r="D15" s="28" t="str">
        <f t="shared" si="1"/>
        <v>102.1</v>
      </c>
      <c r="E15" s="50" t="str">
        <f>'расчет'!D35*1000</f>
        <v>350.0</v>
      </c>
      <c r="F15" s="52" t="str">
        <f>'расчет'!AD35</f>
        <v>2.95</v>
      </c>
      <c r="G15" s="52" t="str">
        <f>'расчет'!S35*100</f>
        <v>16.51</v>
      </c>
      <c r="H15" s="52" t="str">
        <f>'расчет'!H35</f>
        <v>0.10</v>
      </c>
      <c r="I15" s="52" t="str">
        <f>'расчет'!AB15</f>
        <v>2.45</v>
      </c>
      <c r="J15" s="52" t="str">
        <f t="shared" si="4"/>
        <v>6.00</v>
      </c>
      <c r="K15" s="52" t="str">
        <f>'расчет'!AF15</f>
        <v>14.77</v>
      </c>
      <c r="L15" s="52" t="str">
        <f>'расчет'!R35</f>
        <v>96182.02</v>
      </c>
      <c r="M15" s="4"/>
      <c r="AN15" s="28" t="str">
        <f t="shared" si="2"/>
        <v>-47.4</v>
      </c>
    </row>
    <row r="16" ht="12.75" customHeight="1">
      <c r="B16" s="50" t="str">
        <f>'расчет'!E34+'расчет'!S57</f>
        <v>50.7</v>
      </c>
      <c r="C16" s="50" t="str">
        <f>'расчет'!F34-'расчет'!S57</f>
        <v>46.8</v>
      </c>
      <c r="D16" s="28" t="str">
        <f t="shared" si="1"/>
        <v>97.5</v>
      </c>
      <c r="E16" s="50" t="str">
        <f>'расчет'!D34*1000</f>
        <v>400.0</v>
      </c>
      <c r="F16" s="52" t="str">
        <f>'расчет'!AD34</f>
        <v>1.76</v>
      </c>
      <c r="G16" s="52" t="str">
        <f>'расчет'!S34*100</f>
        <v>15.72</v>
      </c>
      <c r="H16" s="52" t="str">
        <f>'расчет'!H34</f>
        <v>0.09</v>
      </c>
      <c r="I16" s="52" t="str">
        <f>'расчет'!AB14</f>
        <v>2.80</v>
      </c>
      <c r="J16" s="52" t="str">
        <f t="shared" si="4"/>
        <v>6.00</v>
      </c>
      <c r="K16" s="52" t="str">
        <f>'расчет'!AF14</f>
        <v>16.87</v>
      </c>
      <c r="L16" s="52" t="str">
        <f>'расчет'!R34</f>
        <v>105683.61</v>
      </c>
      <c r="M16" s="4"/>
      <c r="AN16" s="28" t="str">
        <f t="shared" si="2"/>
        <v>-46.8</v>
      </c>
    </row>
    <row r="17" ht="12.75" customHeight="1">
      <c r="B17" s="50" t="str">
        <f>'расчет'!E33+'расчет'!S56</f>
        <v>47.1</v>
      </c>
      <c r="C17" s="50" t="str">
        <f>'расчет'!F33-'расчет'!S56</f>
        <v>46.1</v>
      </c>
      <c r="D17" s="28" t="str">
        <f t="shared" si="1"/>
        <v>93.1</v>
      </c>
      <c r="E17" s="50" t="str">
        <f>'расчет'!D33*1000</f>
        <v>450.0</v>
      </c>
      <c r="F17" s="52" t="str">
        <f>'расчет'!AD33</f>
        <v>0.71</v>
      </c>
      <c r="G17" s="52" t="str">
        <f>'расчет'!S33*100</f>
        <v>14.98</v>
      </c>
      <c r="H17" s="52" t="str">
        <f>'расчет'!H33</f>
        <v>0.09</v>
      </c>
      <c r="I17" s="52" t="str">
        <f>'расчет'!AB13</f>
        <v>3.15</v>
      </c>
      <c r="J17" s="52" t="str">
        <f t="shared" si="4"/>
        <v>6.00</v>
      </c>
      <c r="K17" s="52" t="str">
        <f>'расчет'!AF13</f>
        <v>18.97</v>
      </c>
      <c r="L17" s="52" t="str">
        <f>'расчет'!R33</f>
        <v>114215.28</v>
      </c>
      <c r="M17" s="4"/>
      <c r="AN17" s="28" t="str">
        <f t="shared" si="2"/>
        <v>-46.1</v>
      </c>
    </row>
    <row r="18" ht="12.75" customHeight="1">
      <c r="B18" s="50" t="str">
        <f>'расчет'!E32+'расчет'!S55</f>
        <v>43.7</v>
      </c>
      <c r="C18" s="50" t="str">
        <f>'расчет'!F32-'расчет'!S55</f>
        <v>45.3</v>
      </c>
      <c r="D18" s="28" t="str">
        <f t="shared" si="1"/>
        <v>89.0</v>
      </c>
      <c r="E18" s="50" t="str">
        <f>'расчет'!D32*1000</f>
        <v>500.0</v>
      </c>
      <c r="F18" s="52" t="str">
        <f>'расчет'!AD32</f>
        <v>-0.19</v>
      </c>
      <c r="G18" s="52" t="str">
        <f>'расчет'!S32*100</f>
        <v>14.28</v>
      </c>
      <c r="H18" s="52" t="str">
        <f>'расчет'!H32</f>
        <v>0.08</v>
      </c>
      <c r="I18" s="52" t="str">
        <f>'расчет'!AB12</f>
        <v>3.50</v>
      </c>
      <c r="J18" s="52" t="str">
        <f t="shared" si="4"/>
        <v>6.00</v>
      </c>
      <c r="K18" s="52" t="str">
        <f>'расчет'!AF12</f>
        <v>21.07</v>
      </c>
      <c r="L18" s="52" t="str">
        <f>'расчет'!R32</f>
        <v>121825.31</v>
      </c>
      <c r="M18" s="4"/>
      <c r="AN18" s="28" t="str">
        <f t="shared" si="2"/>
        <v>-45.3</v>
      </c>
    </row>
    <row r="19" ht="12.75" customHeight="1">
      <c r="B19" s="50" t="str">
        <f>'расчет'!E31+'расчет'!S54</f>
        <v>40.6</v>
      </c>
      <c r="C19" s="50" t="str">
        <f>'расчет'!F31-'расчет'!S54</f>
        <v>44.4</v>
      </c>
      <c r="D19" s="28" t="str">
        <f t="shared" si="1"/>
        <v>85.1</v>
      </c>
      <c r="E19" s="50" t="str">
        <f>'расчет'!D31*1000</f>
        <v>550.0</v>
      </c>
      <c r="F19" s="52" t="str">
        <f>'расчет'!AD31</f>
        <v>-0.96</v>
      </c>
      <c r="G19" s="52" t="str">
        <f>'расчет'!S31*100</f>
        <v>13.61</v>
      </c>
      <c r="H19" s="52" t="str">
        <f>'расчет'!H31</f>
        <v>0.08</v>
      </c>
      <c r="I19" s="52" t="str">
        <f>'расчет'!AB11</f>
        <v>3.85</v>
      </c>
      <c r="J19" s="52" t="str">
        <f t="shared" si="4"/>
        <v>6.00</v>
      </c>
      <c r="K19" s="52" t="str">
        <f>'расчет'!AF11</f>
        <v>23.17</v>
      </c>
      <c r="L19" s="52" t="str">
        <f>'расчет'!R31</f>
        <v>128573.07</v>
      </c>
      <c r="M19" s="4"/>
      <c r="AN19" s="28" t="str">
        <f t="shared" si="2"/>
        <v>-44.4</v>
      </c>
    </row>
    <row r="20" ht="12.75" customHeight="1">
      <c r="B20" s="50" t="str">
        <f>'расчет'!E30+'расчет'!S53</f>
        <v>37.9</v>
      </c>
      <c r="C20" s="50" t="str">
        <f>'расчет'!F30-'расчет'!S53</f>
        <v>43.5</v>
      </c>
      <c r="D20" s="28" t="str">
        <f t="shared" si="1"/>
        <v>81.3</v>
      </c>
      <c r="E20" s="50" t="str">
        <f>'расчет'!D30*1000</f>
        <v>600.0</v>
      </c>
      <c r="F20" s="52" t="str">
        <f>'расчет'!AD30</f>
        <v>-1.58</v>
      </c>
      <c r="G20" s="52" t="str">
        <f>'расчет'!S30*100</f>
        <v>12.99</v>
      </c>
      <c r="H20" s="52" t="str">
        <f>'расчет'!H30</f>
        <v>0.08</v>
      </c>
      <c r="I20" s="52" t="str">
        <f>'расчет'!AB10</f>
        <v>4.20</v>
      </c>
      <c r="J20" s="52" t="str">
        <f t="shared" si="4"/>
        <v>6.00</v>
      </c>
      <c r="K20" s="52" t="str">
        <f>'расчет'!AF10</f>
        <v>25.27</v>
      </c>
      <c r="L20" s="52" t="str">
        <f>'расчет'!R30</f>
        <v>134527.67</v>
      </c>
      <c r="M20" s="4"/>
      <c r="AN20" s="28" t="str">
        <f t="shared" si="2"/>
        <v>-43.5</v>
      </c>
    </row>
    <row r="21" ht="12.75" customHeight="1">
      <c r="B21" s="50" t="str">
        <f>'расчет'!E29+'расчет'!S52</f>
        <v>35.4</v>
      </c>
      <c r="C21" s="50" t="str">
        <f>'расчет'!F29-'расчет'!S52</f>
        <v>42.4</v>
      </c>
      <c r="D21" s="28" t="str">
        <f t="shared" si="1"/>
        <v>77.8</v>
      </c>
      <c r="E21" s="50" t="str">
        <f>'расчет'!D29*1000</f>
        <v>650.0</v>
      </c>
      <c r="F21" s="52" t="str">
        <f>'расчет'!AD29</f>
        <v>-2.06</v>
      </c>
      <c r="G21" s="52" t="str">
        <f>'расчет'!S29*100</f>
        <v>12.40</v>
      </c>
      <c r="H21" s="52" t="str">
        <f>'расчет'!H29</f>
        <v>0.07</v>
      </c>
      <c r="I21" s="52" t="str">
        <f>'расчет'!AB9</f>
        <v>4.55</v>
      </c>
      <c r="J21" s="52" t="str">
        <f t="shared" si="4"/>
        <v>6.00</v>
      </c>
      <c r="K21" s="52" t="str">
        <f>'расчет'!AF9</f>
        <v>27.37</v>
      </c>
      <c r="L21" s="52" t="str">
        <f>'расчет'!R29</f>
        <v>139766.37</v>
      </c>
      <c r="M21" s="4"/>
      <c r="AN21" s="28" t="str">
        <f t="shared" si="2"/>
        <v>-42.4</v>
      </c>
    </row>
    <row r="22" ht="12.75" customHeight="1">
      <c r="B22" s="50" t="str">
        <f>'расчет'!E28+'расчет'!S51</f>
        <v>33.2</v>
      </c>
      <c r="C22" s="50" t="str">
        <f>'расчет'!F28-'расчет'!S51</f>
        <v>41.3</v>
      </c>
      <c r="D22" s="28" t="str">
        <f t="shared" si="1"/>
        <v>74.5</v>
      </c>
      <c r="E22" s="50" t="str">
        <f>'расчет'!D28*1000</f>
        <v>700.0</v>
      </c>
      <c r="F22" s="52" t="str">
        <f>'расчет'!AD28</f>
        <v>-2.40</v>
      </c>
      <c r="G22" s="52" t="str">
        <f>'расчет'!S28*100</f>
        <v>11.86</v>
      </c>
      <c r="H22" s="52" t="str">
        <f>'расчет'!H28</f>
        <v>0.07</v>
      </c>
      <c r="I22" s="52" t="str">
        <f>'расчет'!AB8</f>
        <v>4.90</v>
      </c>
      <c r="J22" s="52" t="str">
        <f t="shared" si="4"/>
        <v>6.00</v>
      </c>
      <c r="K22" s="52" t="str">
        <f>'расчет'!AF8</f>
        <v>29.46</v>
      </c>
      <c r="L22" s="52" t="str">
        <f>'расчет'!R28</f>
        <v>144372.97</v>
      </c>
      <c r="M22" s="4"/>
      <c r="AN22" s="28" t="str">
        <f t="shared" si="2"/>
        <v>-41.3</v>
      </c>
    </row>
    <row r="23" ht="12.75" customHeight="1">
      <c r="B23" s="50" t="str">
        <f>'расчет'!E27+'расчет'!S50</f>
        <v>31.3</v>
      </c>
      <c r="C23" s="50" t="str">
        <f>'расчет'!F27-'расчет'!S50</f>
        <v>40.0</v>
      </c>
      <c r="D23" s="28" t="str">
        <f t="shared" si="1"/>
        <v>71.4</v>
      </c>
      <c r="E23" s="50" t="str">
        <f>'расчет'!D27*1000</f>
        <v>750.0</v>
      </c>
      <c r="F23" s="52" t="str">
        <f>'расчет'!AD27</f>
        <v>-2.60</v>
      </c>
      <c r="G23" s="52" t="str">
        <f>'расчет'!S27*100</f>
        <v>11.34</v>
      </c>
      <c r="H23" s="52" t="str">
        <f>'расчет'!H27</f>
        <v>0.07</v>
      </c>
      <c r="I23" s="52" t="str">
        <f>'расчет'!AB7</f>
        <v>5.25</v>
      </c>
      <c r="J23" s="52" t="str">
        <f t="shared" si="4"/>
        <v>6.00</v>
      </c>
      <c r="K23" s="52" t="str">
        <f>'расчет'!AF7</f>
        <v>31.56</v>
      </c>
      <c r="L23" s="52" t="str">
        <f>'расчет'!R27</f>
        <v>148436.23</v>
      </c>
      <c r="M23" s="4"/>
      <c r="AN23" s="28" t="str">
        <f t="shared" si="2"/>
        <v>-40.0</v>
      </c>
    </row>
    <row r="24" ht="12.75" customHeight="1">
      <c r="B24" s="50" t="str">
        <f>'расчет'!E26+'расчет'!S49</f>
        <v>29.8</v>
      </c>
      <c r="C24" s="50" t="str">
        <f>'расчет'!F26-'расчет'!S49</f>
        <v>38.7</v>
      </c>
      <c r="D24" s="28" t="str">
        <f t="shared" si="1"/>
        <v>68.5</v>
      </c>
      <c r="E24" s="50" t="str">
        <f>'расчет'!D26*1000</f>
        <v>800.0</v>
      </c>
      <c r="F24" s="52" t="str">
        <f>'расчет'!AD26</f>
        <v>-2.67</v>
      </c>
      <c r="G24" s="52" t="str">
        <f>'расчет'!S26*100</f>
        <v>10.87</v>
      </c>
      <c r="H24" s="52" t="str">
        <f>'расчет'!H26</f>
        <v>0.07</v>
      </c>
      <c r="I24" s="52" t="str">
        <f>'расчет'!AB6</f>
        <v>5.60</v>
      </c>
      <c r="J24" s="52" t="str">
        <f t="shared" si="4"/>
        <v>6.00</v>
      </c>
      <c r="K24" s="52" t="str">
        <f>'расчет'!AF6</f>
        <v>33.66</v>
      </c>
      <c r="L24" s="52" t="str">
        <f>'расчет'!R26</f>
        <v>152048.38</v>
      </c>
      <c r="M24" s="4"/>
      <c r="AN24" s="28" t="str">
        <f t="shared" si="2"/>
        <v>-38.7</v>
      </c>
    </row>
    <row r="25" ht="12.75" customHeight="1">
      <c r="B25" s="50" t="str">
        <f>'расчет'!E25+'расчет'!S48</f>
        <v>28.5</v>
      </c>
      <c r="C25" s="50" t="str">
        <f>'расчет'!F25-'расчет'!S48</f>
        <v>37.3</v>
      </c>
      <c r="D25" s="28" t="str">
        <f t="shared" si="1"/>
        <v>65.8</v>
      </c>
      <c r="E25" s="50" t="str">
        <f>'расчет'!D25*1000</f>
        <v>850.0</v>
      </c>
      <c r="F25" s="52" t="str">
        <f>'расчет'!AD25</f>
        <v>-2.59</v>
      </c>
      <c r="G25" s="52" t="str">
        <f>'расчет'!S25*100</f>
        <v>10.43</v>
      </c>
      <c r="H25" s="52" t="str">
        <f>'расчет'!H25</f>
        <v>0.06</v>
      </c>
      <c r="I25" s="52" t="str">
        <f>'расчет'!AB5</f>
        <v>5.95</v>
      </c>
      <c r="J25" s="52" t="str">
        <f t="shared" si="4"/>
        <v>6.00</v>
      </c>
      <c r="K25" s="52" t="str">
        <f>'расчет'!AF5</f>
        <v>35.76</v>
      </c>
      <c r="L25" s="52" t="str">
        <f>'расчет'!R25</f>
        <v>155303.79</v>
      </c>
      <c r="M25" s="4"/>
      <c r="AN25" s="28" t="str">
        <f t="shared" si="2"/>
        <v>-37.3</v>
      </c>
    </row>
    <row r="26" ht="12.75" customHeight="1">
      <c r="B26" s="50" t="str">
        <f>'расчет'!E24+'расчет'!S47</f>
        <v>27.5</v>
      </c>
      <c r="C26" s="50" t="str">
        <f>'расчет'!F24-'расчет'!S47</f>
        <v>35.8</v>
      </c>
      <c r="D26" s="28" t="str">
        <f t="shared" si="1"/>
        <v>63.3</v>
      </c>
      <c r="E26" s="50" t="str">
        <f>'расчет'!D24*1000</f>
        <v>900.0</v>
      </c>
      <c r="F26" s="52" t="str">
        <f>'расчет'!AD24</f>
        <v>-2.38</v>
      </c>
      <c r="G26" s="52" t="str">
        <f>'расчет'!S24*100</f>
        <v>10.03</v>
      </c>
      <c r="H26" s="52" t="str">
        <f>'расчет'!H24</f>
        <v>0.06</v>
      </c>
      <c r="I26" s="52" t="str">
        <f>'расчет'!AB4</f>
        <v>6.30</v>
      </c>
      <c r="J26" s="52" t="str">
        <f t="shared" si="4"/>
        <v>6.00</v>
      </c>
      <c r="K26" s="52" t="str">
        <f>'расчет'!AF4</f>
        <v>37.85</v>
      </c>
      <c r="L26" s="52" t="str">
        <f>'расчет'!R24</f>
        <v>158297.85</v>
      </c>
      <c r="M26" s="4"/>
      <c r="AN26" s="28" t="str">
        <f t="shared" si="2"/>
        <v>-35.8</v>
      </c>
    </row>
    <row r="27" ht="12.75" customHeight="1">
      <c r="B27" s="50" t="str">
        <f>'расчет'!E23+'расчет'!S46</f>
        <v>26.8</v>
      </c>
      <c r="C27" s="50" t="str">
        <f>'расчет'!F23-'расчет'!S46</f>
        <v>34.3</v>
      </c>
      <c r="D27" s="28" t="str">
        <f t="shared" si="1"/>
        <v>61.1</v>
      </c>
      <c r="E27" s="50" t="str">
        <f>'расчет'!D23*1000</f>
        <v>950.0</v>
      </c>
      <c r="F27" s="52" t="str">
        <f>'расчет'!AD23</f>
        <v>-2.03</v>
      </c>
      <c r="G27" s="52" t="str">
        <f>'расчет'!S23*100</f>
        <v>9.66</v>
      </c>
      <c r="H27" s="52" t="str">
        <f>'расчет'!H23</f>
        <v>0.06</v>
      </c>
      <c r="I27" s="52" t="str">
        <f>'расчет'!AB3</f>
        <v>6.65</v>
      </c>
      <c r="J27" s="52" t="str">
        <f t="shared" si="4"/>
        <v>6.00</v>
      </c>
      <c r="K27" s="52" t="str">
        <f>'расчет'!AF3</f>
        <v>39.95</v>
      </c>
      <c r="L27" s="52" t="str">
        <f>'расчет'!R23</f>
        <v>161126.04</v>
      </c>
      <c r="M27" s="4"/>
      <c r="AN27" s="28" t="str">
        <f t="shared" si="2"/>
        <v>-34.3</v>
      </c>
    </row>
    <row r="28" ht="12.75" customHeight="1">
      <c r="B28" s="50" t="str">
        <f>'расчет'!E22+'расчет'!S45</f>
        <v>26.4</v>
      </c>
      <c r="C28" s="50" t="str">
        <f>'расчет'!F22-'расчет'!S45</f>
        <v>32.6</v>
      </c>
      <c r="D28" s="28" t="str">
        <f t="shared" si="1"/>
        <v>59.0</v>
      </c>
      <c r="E28" s="50" t="str">
        <f>'расчет'!D22*1000</f>
        <v>1000.0</v>
      </c>
      <c r="F28" s="52" t="str">
        <f>'расчет'!AD22</f>
        <v>-1.55</v>
      </c>
      <c r="G28" s="52" t="str">
        <f>'расчет'!S22*100</f>
        <v>9.32</v>
      </c>
      <c r="H28" s="52" t="str">
        <f>'расчет'!H22</f>
        <v>0.06</v>
      </c>
      <c r="I28" s="52" t="str">
        <f>'расчет'!AB2</f>
        <v>7.00</v>
      </c>
      <c r="J28" s="52" t="str">
        <f>E4</f>
        <v>6.00</v>
      </c>
      <c r="K28" s="52" t="str">
        <f>'расчет'!AF2</f>
        <v>42.05</v>
      </c>
      <c r="L28" s="52" t="str">
        <f>'расчет'!R22</f>
        <v>163883.21</v>
      </c>
      <c r="M28" s="4"/>
      <c r="AN28" s="28" t="str">
        <f t="shared" si="2"/>
        <v>-32.6</v>
      </c>
    </row>
    <row r="29" ht="12.75" customHeight="1">
      <c r="F29" s="4"/>
      <c r="G29" s="4"/>
      <c r="H29" s="4"/>
      <c r="I29" s="4"/>
      <c r="J29" s="4"/>
      <c r="K29" s="4"/>
      <c r="L29" s="4"/>
      <c r="M29" s="4"/>
    </row>
    <row r="30" ht="12.75" customHeight="1">
      <c r="F30" s="4"/>
      <c r="G30" s="4"/>
      <c r="H30" s="4"/>
      <c r="I30" s="4"/>
      <c r="J30" s="4"/>
      <c r="K30" s="4"/>
      <c r="L30" s="4"/>
      <c r="M30" s="4"/>
    </row>
    <row r="31" ht="12.75" customHeight="1">
      <c r="F31" s="4"/>
      <c r="G31" s="4"/>
      <c r="H31" s="4"/>
      <c r="I31" s="4"/>
      <c r="J31" s="4"/>
      <c r="K31" s="4"/>
      <c r="L31" s="4"/>
      <c r="M31" s="4"/>
    </row>
    <row r="32" ht="12.75" customHeight="1">
      <c r="F32" s="4"/>
      <c r="G32" s="4"/>
      <c r="H32" s="4"/>
      <c r="I32" s="4"/>
      <c r="J32" s="4"/>
      <c r="K32" s="4"/>
      <c r="L32" s="4"/>
      <c r="M32" s="4"/>
    </row>
    <row r="33" ht="12.75" customHeight="1">
      <c r="F33" s="4"/>
      <c r="G33" s="4"/>
      <c r="H33" s="4"/>
      <c r="I33" s="4"/>
      <c r="J33" s="4"/>
      <c r="K33" s="4"/>
      <c r="L33" s="4"/>
      <c r="M33" s="4"/>
    </row>
    <row r="34" ht="12.75" customHeight="1">
      <c r="F34" s="4"/>
      <c r="G34" s="4"/>
      <c r="H34" s="4"/>
      <c r="I34" s="4"/>
      <c r="J34" s="4"/>
      <c r="K34" s="4"/>
      <c r="L34" s="4"/>
      <c r="M34" s="4"/>
    </row>
    <row r="35" ht="12.75" customHeight="1">
      <c r="F35" s="4"/>
      <c r="G35" s="4"/>
      <c r="H35" s="4"/>
      <c r="I35" s="4"/>
      <c r="J35" s="4"/>
      <c r="K35" s="4"/>
      <c r="L35" s="4"/>
      <c r="M35" s="4"/>
    </row>
    <row r="36" ht="12.75" customHeight="1">
      <c r="F36" s="4"/>
      <c r="G36" s="4"/>
      <c r="H36" s="4"/>
      <c r="I36" s="4"/>
      <c r="J36" s="4"/>
      <c r="K36" s="4"/>
      <c r="L36" s="4"/>
      <c r="M36" s="4"/>
    </row>
    <row r="37" ht="12.75" customHeight="1">
      <c r="F37" s="4"/>
      <c r="G37" s="4"/>
      <c r="H37" s="4"/>
      <c r="I37" s="4"/>
      <c r="J37" s="4"/>
      <c r="K37" s="4"/>
      <c r="L37" s="4"/>
      <c r="M37" s="4"/>
    </row>
    <row r="38" ht="12.75" customHeight="1">
      <c r="F38" s="4"/>
      <c r="G38" s="4"/>
      <c r="H38" s="4"/>
      <c r="I38" s="4"/>
      <c r="J38" s="4"/>
      <c r="K38" s="4"/>
      <c r="L38" s="4"/>
      <c r="M38" s="4"/>
    </row>
    <row r="39" ht="12.75" customHeight="1">
      <c r="F39" s="4"/>
      <c r="G39" s="4"/>
      <c r="H39" s="4"/>
      <c r="I39" s="4"/>
      <c r="J39" s="4"/>
      <c r="K39" s="4"/>
      <c r="L39" s="4"/>
      <c r="M39" s="4"/>
    </row>
    <row r="40" ht="12.75" customHeight="1">
      <c r="F40" s="4"/>
      <c r="G40" s="4"/>
      <c r="H40" s="4"/>
      <c r="I40" s="4"/>
      <c r="J40" s="4"/>
      <c r="K40" s="4"/>
      <c r="L40" s="4"/>
      <c r="M40" s="4"/>
    </row>
    <row r="41" ht="12.75" customHeight="1">
      <c r="F41" s="4"/>
      <c r="G41" s="4"/>
      <c r="H41" s="4"/>
      <c r="I41" s="4"/>
      <c r="J41" s="4"/>
      <c r="K41" s="4"/>
      <c r="L41" s="4"/>
      <c r="M41" s="4"/>
    </row>
    <row r="42" ht="12.75" customHeight="1">
      <c r="F42" s="4"/>
      <c r="G42" s="4"/>
      <c r="H42" s="4"/>
      <c r="I42" s="4"/>
      <c r="J42" s="4"/>
      <c r="K42" s="4"/>
      <c r="L42" s="4"/>
      <c r="M42" s="4"/>
    </row>
    <row r="43" ht="12.75" customHeight="1">
      <c r="E43" s="30"/>
      <c r="F43" s="4"/>
      <c r="G43" s="4"/>
      <c r="H43" s="4"/>
      <c r="I43" s="4"/>
      <c r="J43" s="4"/>
      <c r="K43" s="4"/>
      <c r="L43" s="4"/>
      <c r="M43" s="4"/>
    </row>
    <row r="44" ht="12.75" customHeight="1">
      <c r="F44" s="4"/>
      <c r="G44" s="4"/>
      <c r="H44" s="4"/>
      <c r="I44" s="4"/>
      <c r="J44" s="4"/>
      <c r="K44" s="4"/>
      <c r="L44" s="4"/>
      <c r="M44" s="4"/>
    </row>
    <row r="45" ht="12.75" customHeight="1">
      <c r="F45" s="4"/>
      <c r="G45" s="4"/>
      <c r="H45" s="4"/>
      <c r="I45" s="4"/>
      <c r="J45" s="4"/>
      <c r="K45" s="4"/>
      <c r="L45" s="4"/>
      <c r="M45" s="4"/>
    </row>
    <row r="46" ht="12.75" customHeight="1">
      <c r="F46" s="4"/>
      <c r="G46" s="4"/>
      <c r="H46" s="4"/>
      <c r="I46" s="4"/>
      <c r="J46" s="4"/>
      <c r="K46" s="4"/>
      <c r="L46" s="4"/>
      <c r="M46" s="4"/>
    </row>
    <row r="47" ht="12.75" customHeight="1">
      <c r="F47" s="4"/>
      <c r="G47" s="4"/>
      <c r="H47" s="4"/>
      <c r="I47" s="4"/>
      <c r="J47" s="4"/>
      <c r="K47" s="4"/>
      <c r="L47" s="4"/>
      <c r="M47" s="4"/>
    </row>
    <row r="48" ht="12.75" customHeight="1">
      <c r="F48" s="4"/>
      <c r="G48" s="4"/>
      <c r="H48" s="4"/>
      <c r="I48" s="4"/>
      <c r="J48" s="4"/>
      <c r="K48" s="4"/>
      <c r="L48" s="4"/>
      <c r="M48" s="4"/>
    </row>
    <row r="49" ht="12.75" customHeight="1">
      <c r="F49" s="4"/>
      <c r="G49" s="4"/>
      <c r="H49" s="4"/>
      <c r="I49" s="4"/>
      <c r="J49" s="4"/>
      <c r="K49" s="4"/>
      <c r="L49" s="4"/>
      <c r="M49" s="4"/>
    </row>
    <row r="50" ht="12.75" customHeight="1">
      <c r="F50" s="4"/>
      <c r="G50" s="4"/>
      <c r="H50" s="4"/>
      <c r="I50" s="4"/>
      <c r="J50" s="4"/>
      <c r="K50" s="4"/>
      <c r="L50" s="4"/>
      <c r="M50" s="4"/>
    </row>
    <row r="51" ht="12.75" customHeight="1">
      <c r="F51" s="4"/>
      <c r="G51" s="4"/>
      <c r="H51" s="4"/>
      <c r="I51" s="4"/>
      <c r="J51" s="4"/>
      <c r="K51" s="4"/>
      <c r="L51" s="4"/>
      <c r="M51" s="4"/>
    </row>
    <row r="52" ht="12.75" customHeight="1">
      <c r="F52" s="4"/>
      <c r="G52" s="4"/>
      <c r="H52" s="4"/>
      <c r="I52" s="4"/>
      <c r="J52" s="4"/>
      <c r="K52" s="4"/>
      <c r="L52" s="4"/>
      <c r="M52" s="4"/>
    </row>
    <row r="53" ht="12.75" customHeight="1">
      <c r="F53" s="4"/>
      <c r="G53" s="4"/>
      <c r="H53" s="4"/>
      <c r="I53" s="4"/>
      <c r="J53" s="4"/>
      <c r="K53" s="4"/>
      <c r="L53" s="4"/>
      <c r="M53" s="4"/>
    </row>
    <row r="54" ht="12.75" customHeight="1">
      <c r="F54" s="4"/>
      <c r="G54" s="4"/>
      <c r="H54" s="4"/>
      <c r="I54" s="4"/>
      <c r="J54" s="4"/>
      <c r="K54" s="4"/>
      <c r="L54" s="4"/>
      <c r="M54" s="4"/>
    </row>
    <row r="55" ht="12.75" customHeight="1">
      <c r="F55" s="4"/>
      <c r="G55" s="4"/>
      <c r="H55" s="4"/>
      <c r="I55" s="4"/>
      <c r="J55" s="4"/>
      <c r="K55" s="4"/>
      <c r="L55" s="4"/>
      <c r="M55" s="4"/>
    </row>
    <row r="56" ht="12.75" customHeight="1">
      <c r="F56" s="4"/>
      <c r="G56" s="4"/>
      <c r="H56" s="4"/>
      <c r="I56" s="4"/>
      <c r="J56" s="4"/>
      <c r="K56" s="4"/>
      <c r="L56" s="4"/>
      <c r="M56" s="4"/>
    </row>
    <row r="57" ht="12.75" customHeight="1">
      <c r="F57" s="4"/>
      <c r="G57" s="4"/>
      <c r="H57" s="4"/>
      <c r="I57" s="4"/>
      <c r="J57" s="4"/>
      <c r="K57" s="4"/>
      <c r="L57" s="4"/>
      <c r="M57" s="4"/>
    </row>
    <row r="58" ht="12.75" customHeight="1">
      <c r="F58" s="4"/>
      <c r="G58" s="4"/>
      <c r="H58" s="4"/>
      <c r="I58" s="4"/>
      <c r="J58" s="4"/>
      <c r="K58" s="4"/>
      <c r="L58" s="4"/>
      <c r="M58" s="4"/>
    </row>
    <row r="59" ht="12.75" customHeight="1">
      <c r="F59" s="4"/>
      <c r="G59" s="4"/>
      <c r="H59" s="4"/>
      <c r="I59" s="4"/>
      <c r="J59" s="4"/>
      <c r="K59" s="4"/>
      <c r="L59" s="4"/>
      <c r="M59" s="4"/>
    </row>
    <row r="60" ht="12.75" customHeight="1">
      <c r="F60" s="4"/>
      <c r="G60" s="4"/>
      <c r="H60" s="4"/>
      <c r="I60" s="4"/>
      <c r="J60" s="4"/>
      <c r="K60" s="4"/>
      <c r="L60" s="4"/>
      <c r="M60" s="4"/>
    </row>
    <row r="61" ht="12.75" customHeight="1">
      <c r="F61" s="4"/>
      <c r="G61" s="4"/>
      <c r="H61" s="4"/>
      <c r="I61" s="4"/>
      <c r="J61" s="4"/>
      <c r="K61" s="4"/>
      <c r="L61" s="4"/>
      <c r="M61" s="4"/>
    </row>
    <row r="62" ht="12.75" customHeight="1">
      <c r="F62" s="4"/>
      <c r="G62" s="4"/>
      <c r="H62" s="4"/>
      <c r="I62" s="4"/>
      <c r="J62" s="4"/>
      <c r="K62" s="4"/>
      <c r="L62" s="4"/>
      <c r="M62" s="4"/>
    </row>
    <row r="63" ht="12.75" customHeight="1">
      <c r="F63" s="4"/>
      <c r="G63" s="4"/>
      <c r="H63" s="4"/>
      <c r="I63" s="4"/>
      <c r="J63" s="4"/>
      <c r="K63" s="4"/>
      <c r="L63" s="4"/>
      <c r="M63" s="4"/>
    </row>
    <row r="64" ht="12.75" customHeight="1">
      <c r="F64" s="4"/>
      <c r="G64" s="4"/>
      <c r="H64" s="4"/>
      <c r="I64" s="4"/>
      <c r="J64" s="4"/>
      <c r="K64" s="4"/>
      <c r="L64" s="4"/>
      <c r="M64" s="4"/>
    </row>
    <row r="65" ht="12.75" customHeight="1">
      <c r="F65" s="4"/>
      <c r="G65" s="4"/>
      <c r="H65" s="4"/>
      <c r="I65" s="4"/>
      <c r="J65" s="4"/>
      <c r="K65" s="4"/>
      <c r="L65" s="4"/>
      <c r="M65" s="4"/>
    </row>
    <row r="66" ht="12.75" customHeight="1">
      <c r="F66" s="4"/>
      <c r="G66" s="4"/>
      <c r="H66" s="4"/>
      <c r="I66" s="4"/>
      <c r="J66" s="4"/>
      <c r="K66" s="4"/>
      <c r="L66" s="4"/>
      <c r="M66" s="4"/>
    </row>
    <row r="67" ht="12.75" customHeight="1">
      <c r="F67" s="4"/>
      <c r="G67" s="4"/>
      <c r="H67" s="4"/>
      <c r="I67" s="4"/>
      <c r="J67" s="4"/>
      <c r="K67" s="4"/>
      <c r="L67" s="4"/>
      <c r="M67" s="4"/>
    </row>
    <row r="68" ht="12.75" customHeight="1">
      <c r="F68" s="4"/>
      <c r="G68" s="4"/>
      <c r="H68" s="4"/>
      <c r="I68" s="4"/>
      <c r="J68" s="4"/>
      <c r="K68" s="4"/>
      <c r="L68" s="4"/>
      <c r="M68" s="4"/>
    </row>
    <row r="69" ht="12.75" customHeight="1">
      <c r="F69" s="4"/>
      <c r="G69" s="4"/>
      <c r="H69" s="4"/>
      <c r="I69" s="4"/>
      <c r="J69" s="4"/>
      <c r="K69" s="4"/>
      <c r="L69" s="4"/>
      <c r="M69" s="4"/>
    </row>
    <row r="70" ht="12.75" customHeight="1">
      <c r="F70" s="4"/>
      <c r="G70" s="4"/>
      <c r="H70" s="4"/>
      <c r="I70" s="4"/>
      <c r="J70" s="4"/>
      <c r="K70" s="4"/>
      <c r="L70" s="4"/>
      <c r="M70" s="4"/>
    </row>
    <row r="71" ht="12.75" customHeight="1">
      <c r="F71" s="4"/>
      <c r="G71" s="4"/>
      <c r="H71" s="4"/>
      <c r="I71" s="4"/>
      <c r="J71" s="4"/>
      <c r="K71" s="4"/>
      <c r="L71" s="4"/>
      <c r="M71" s="4"/>
    </row>
    <row r="72" ht="12.75" customHeight="1">
      <c r="F72" s="4"/>
      <c r="G72" s="4"/>
      <c r="H72" s="4"/>
      <c r="I72" s="4"/>
      <c r="J72" s="4"/>
      <c r="K72" s="4"/>
      <c r="L72" s="4"/>
      <c r="M72" s="4"/>
    </row>
    <row r="73" ht="12.75" customHeight="1">
      <c r="F73" s="4"/>
      <c r="G73" s="4"/>
      <c r="H73" s="4"/>
      <c r="I73" s="4"/>
      <c r="J73" s="4"/>
      <c r="K73" s="4"/>
      <c r="L73" s="4"/>
      <c r="M73" s="4"/>
    </row>
    <row r="74" ht="12.75" customHeight="1">
      <c r="F74" s="4"/>
      <c r="G74" s="4"/>
      <c r="H74" s="4"/>
      <c r="I74" s="4"/>
      <c r="J74" s="4"/>
      <c r="K74" s="4"/>
      <c r="L74" s="4"/>
      <c r="M74" s="4"/>
    </row>
    <row r="75" ht="12.75" customHeight="1">
      <c r="F75" s="4"/>
      <c r="G75" s="4"/>
      <c r="H75" s="4"/>
      <c r="I75" s="4"/>
      <c r="J75" s="4"/>
      <c r="K75" s="4"/>
      <c r="L75" s="4"/>
      <c r="M75" s="4"/>
    </row>
    <row r="76" ht="12.75" customHeight="1">
      <c r="F76" s="4"/>
      <c r="G76" s="4"/>
      <c r="H76" s="4"/>
      <c r="I76" s="4"/>
      <c r="J76" s="4"/>
      <c r="K76" s="4"/>
      <c r="L76" s="4"/>
      <c r="M76" s="4"/>
    </row>
    <row r="77" ht="12.75" customHeight="1">
      <c r="F77" s="4"/>
      <c r="G77" s="4"/>
      <c r="H77" s="4"/>
      <c r="I77" s="4"/>
      <c r="J77" s="4"/>
      <c r="K77" s="4"/>
      <c r="L77" s="4"/>
      <c r="M77" s="4"/>
    </row>
    <row r="78" ht="12.75" customHeight="1">
      <c r="F78" s="4"/>
      <c r="G78" s="4"/>
      <c r="H78" s="4"/>
      <c r="I78" s="4"/>
      <c r="J78" s="4"/>
      <c r="K78" s="4"/>
      <c r="L78" s="4"/>
      <c r="M78" s="4"/>
    </row>
    <row r="79" ht="12.75" customHeight="1">
      <c r="F79" s="4"/>
      <c r="G79" s="4"/>
      <c r="H79" s="4"/>
      <c r="I79" s="4"/>
      <c r="J79" s="4"/>
      <c r="K79" s="4"/>
      <c r="L79" s="4"/>
      <c r="M79" s="4"/>
    </row>
    <row r="80" ht="12.75" customHeight="1">
      <c r="F80" s="4"/>
      <c r="G80" s="4"/>
      <c r="H80" s="4"/>
      <c r="I80" s="4"/>
      <c r="J80" s="4"/>
      <c r="K80" s="4"/>
      <c r="L80" s="4"/>
      <c r="M80" s="4"/>
    </row>
    <row r="81" ht="12.75" customHeight="1">
      <c r="F81" s="4"/>
      <c r="G81" s="4"/>
      <c r="H81" s="4"/>
      <c r="I81" s="4"/>
      <c r="J81" s="4"/>
      <c r="K81" s="4"/>
      <c r="L81" s="4"/>
      <c r="M81" s="4"/>
    </row>
    <row r="82" ht="12.75" customHeight="1">
      <c r="F82" s="4"/>
      <c r="G82" s="4"/>
      <c r="H82" s="4"/>
      <c r="I82" s="4"/>
      <c r="J82" s="4"/>
      <c r="K82" s="4"/>
      <c r="L82" s="4"/>
      <c r="M82" s="4"/>
    </row>
    <row r="83" ht="12.75" customHeight="1">
      <c r="F83" s="4"/>
      <c r="G83" s="4"/>
      <c r="H83" s="4"/>
      <c r="I83" s="4"/>
      <c r="J83" s="4"/>
      <c r="K83" s="4"/>
      <c r="L83" s="4"/>
      <c r="M83" s="4"/>
    </row>
    <row r="84" ht="12.75" customHeight="1">
      <c r="F84" s="4"/>
      <c r="G84" s="4"/>
      <c r="H84" s="4"/>
      <c r="I84" s="4"/>
      <c r="J84" s="4"/>
      <c r="K84" s="4"/>
      <c r="L84" s="4"/>
      <c r="M84" s="4"/>
    </row>
    <row r="85" ht="12.75" customHeight="1">
      <c r="F85" s="4"/>
      <c r="G85" s="4"/>
      <c r="H85" s="4"/>
      <c r="I85" s="4"/>
      <c r="J85" s="4"/>
      <c r="K85" s="4"/>
      <c r="L85" s="4"/>
      <c r="M85" s="4"/>
    </row>
    <row r="86" ht="12.75" customHeight="1">
      <c r="F86" s="4"/>
      <c r="G86" s="4"/>
      <c r="H86" s="4"/>
      <c r="I86" s="4"/>
      <c r="J86" s="4"/>
      <c r="K86" s="4"/>
      <c r="L86" s="4"/>
      <c r="M86" s="4"/>
    </row>
    <row r="87" ht="12.75" customHeight="1">
      <c r="F87" s="4"/>
      <c r="G87" s="4"/>
      <c r="H87" s="4"/>
      <c r="I87" s="4"/>
      <c r="J87" s="4"/>
      <c r="K87" s="4"/>
      <c r="L87" s="4"/>
      <c r="M87" s="4"/>
    </row>
    <row r="88" ht="12.75" customHeight="1">
      <c r="F88" s="4"/>
      <c r="G88" s="4"/>
      <c r="H88" s="4"/>
      <c r="I88" s="4"/>
      <c r="J88" s="4"/>
      <c r="K88" s="4"/>
      <c r="L88" s="4"/>
      <c r="M88" s="4"/>
    </row>
    <row r="89" ht="12.75" customHeight="1">
      <c r="F89" s="4"/>
      <c r="G89" s="4"/>
      <c r="H89" s="4"/>
      <c r="I89" s="4"/>
      <c r="J89" s="4"/>
      <c r="K89" s="4"/>
      <c r="L89" s="4"/>
      <c r="M89" s="4"/>
    </row>
    <row r="90" ht="12.75" customHeight="1">
      <c r="F90" s="4"/>
      <c r="G90" s="4"/>
      <c r="H90" s="4"/>
      <c r="I90" s="4"/>
      <c r="J90" s="4"/>
      <c r="K90" s="4"/>
      <c r="L90" s="4"/>
      <c r="M90" s="4"/>
    </row>
    <row r="91" ht="12.75" customHeight="1">
      <c r="F91" s="4"/>
      <c r="G91" s="4"/>
      <c r="H91" s="4"/>
      <c r="I91" s="4"/>
      <c r="J91" s="4"/>
      <c r="K91" s="4"/>
      <c r="L91" s="4"/>
      <c r="M91" s="4"/>
    </row>
    <row r="92" ht="12.75" customHeight="1">
      <c r="F92" s="4"/>
      <c r="G92" s="4"/>
      <c r="H92" s="4"/>
      <c r="I92" s="4"/>
      <c r="J92" s="4"/>
      <c r="K92" s="4"/>
      <c r="L92" s="4"/>
      <c r="M92" s="4"/>
    </row>
    <row r="93" ht="12.75" customHeight="1">
      <c r="F93" s="4"/>
      <c r="G93" s="4"/>
      <c r="H93" s="4"/>
      <c r="I93" s="4"/>
      <c r="J93" s="4"/>
      <c r="K93" s="4"/>
      <c r="L93" s="4"/>
      <c r="M93" s="4"/>
    </row>
    <row r="94" ht="12.75" customHeight="1">
      <c r="F94" s="4"/>
      <c r="G94" s="4"/>
      <c r="H94" s="4"/>
      <c r="I94" s="4"/>
      <c r="J94" s="4"/>
      <c r="K94" s="4"/>
      <c r="L94" s="4"/>
      <c r="M94" s="4"/>
    </row>
    <row r="95" ht="12.75" customHeight="1">
      <c r="F95" s="4"/>
      <c r="G95" s="4"/>
      <c r="H95" s="4"/>
      <c r="I95" s="4"/>
      <c r="J95" s="4"/>
      <c r="K95" s="4"/>
      <c r="L95" s="4"/>
      <c r="M95" s="4"/>
    </row>
    <row r="96" ht="12.75" customHeight="1">
      <c r="F96" s="4"/>
      <c r="G96" s="4"/>
      <c r="H96" s="4"/>
      <c r="I96" s="4"/>
      <c r="J96" s="4"/>
      <c r="K96" s="4"/>
      <c r="L96" s="4"/>
      <c r="M96" s="4"/>
    </row>
    <row r="97" ht="12.75" customHeight="1">
      <c r="F97" s="4"/>
      <c r="G97" s="4"/>
      <c r="H97" s="4"/>
      <c r="I97" s="4"/>
      <c r="J97" s="4"/>
      <c r="K97" s="4"/>
      <c r="L97" s="4"/>
      <c r="M97" s="4"/>
    </row>
    <row r="98" ht="12.75" customHeight="1">
      <c r="F98" s="4"/>
      <c r="G98" s="4"/>
      <c r="H98" s="4"/>
      <c r="I98" s="4"/>
      <c r="J98" s="4"/>
      <c r="K98" s="4"/>
      <c r="L98" s="4"/>
      <c r="M98" s="4"/>
    </row>
    <row r="99" ht="12.75" customHeight="1">
      <c r="F99" s="4"/>
      <c r="G99" s="4"/>
      <c r="H99" s="4"/>
      <c r="I99" s="4"/>
      <c r="J99" s="4"/>
      <c r="K99" s="4"/>
      <c r="L99" s="4"/>
      <c r="M99" s="4"/>
    </row>
    <row r="100" ht="12.75" customHeight="1">
      <c r="F100" s="4"/>
      <c r="G100" s="4"/>
      <c r="H100" s="4"/>
      <c r="I100" s="4"/>
      <c r="J100" s="4"/>
      <c r="K100" s="4"/>
      <c r="L100" s="4"/>
      <c r="M100" s="4"/>
    </row>
    <row r="101" ht="12.75" customHeight="1">
      <c r="F101" s="4"/>
      <c r="G101" s="4"/>
      <c r="H101" s="4"/>
      <c r="I101" s="4"/>
      <c r="J101" s="4"/>
      <c r="K101" s="4"/>
      <c r="L101" s="4"/>
      <c r="M101" s="4"/>
    </row>
    <row r="102" ht="12.75" customHeight="1">
      <c r="F102" s="4"/>
      <c r="G102" s="4"/>
      <c r="H102" s="4"/>
      <c r="I102" s="4"/>
      <c r="J102" s="4"/>
      <c r="K102" s="4"/>
      <c r="L102" s="4"/>
      <c r="M102" s="4"/>
    </row>
    <row r="103" ht="12.75" customHeight="1">
      <c r="F103" s="4"/>
      <c r="G103" s="4"/>
      <c r="H103" s="4"/>
      <c r="I103" s="4"/>
      <c r="J103" s="4"/>
      <c r="K103" s="4"/>
      <c r="L103" s="4"/>
      <c r="M103" s="4"/>
    </row>
    <row r="104" ht="12.75" customHeight="1">
      <c r="F104" s="4"/>
      <c r="G104" s="4"/>
      <c r="H104" s="4"/>
      <c r="I104" s="4"/>
      <c r="J104" s="4"/>
      <c r="K104" s="4"/>
      <c r="L104" s="4"/>
      <c r="M104" s="4"/>
    </row>
    <row r="105" ht="12.75" customHeight="1">
      <c r="F105" s="4"/>
      <c r="G105" s="4"/>
      <c r="H105" s="4"/>
      <c r="I105" s="4"/>
      <c r="J105" s="4"/>
      <c r="K105" s="4"/>
      <c r="L105" s="4"/>
      <c r="M105" s="4"/>
    </row>
    <row r="106" ht="12.75" customHeight="1">
      <c r="F106" s="4"/>
      <c r="G106" s="4"/>
      <c r="H106" s="4"/>
      <c r="I106" s="4"/>
      <c r="J106" s="4"/>
      <c r="K106" s="4"/>
      <c r="L106" s="4"/>
      <c r="M106" s="4"/>
    </row>
    <row r="107" ht="12.75" customHeight="1">
      <c r="F107" s="4"/>
      <c r="G107" s="4"/>
      <c r="H107" s="4"/>
      <c r="I107" s="4"/>
      <c r="J107" s="4"/>
      <c r="K107" s="4"/>
      <c r="L107" s="4"/>
      <c r="M107" s="4"/>
    </row>
    <row r="108" ht="12.75" customHeight="1">
      <c r="F108" s="4"/>
      <c r="G108" s="4"/>
      <c r="H108" s="4"/>
      <c r="I108" s="4"/>
      <c r="J108" s="4"/>
      <c r="K108" s="4"/>
      <c r="L108" s="4"/>
      <c r="M108" s="4"/>
    </row>
    <row r="109" ht="12.75" customHeight="1">
      <c r="F109" s="4"/>
      <c r="G109" s="4"/>
      <c r="H109" s="4"/>
      <c r="I109" s="4"/>
      <c r="J109" s="4"/>
      <c r="K109" s="4"/>
      <c r="L109" s="4"/>
      <c r="M109" s="4"/>
    </row>
    <row r="110" ht="12.75" customHeight="1">
      <c r="F110" s="4"/>
      <c r="G110" s="4"/>
      <c r="H110" s="4"/>
      <c r="I110" s="4"/>
      <c r="J110" s="4"/>
      <c r="K110" s="4"/>
      <c r="L110" s="4"/>
      <c r="M110" s="4"/>
    </row>
    <row r="111" ht="12.75" customHeight="1">
      <c r="F111" s="4"/>
      <c r="G111" s="4"/>
      <c r="H111" s="4"/>
      <c r="I111" s="4"/>
      <c r="J111" s="4"/>
      <c r="K111" s="4"/>
      <c r="L111" s="4"/>
      <c r="M111" s="4"/>
    </row>
    <row r="112" ht="12.75" customHeight="1">
      <c r="F112" s="4"/>
      <c r="G112" s="4"/>
      <c r="H112" s="4"/>
      <c r="I112" s="4"/>
      <c r="J112" s="4"/>
      <c r="K112" s="4"/>
      <c r="L112" s="4"/>
      <c r="M112" s="4"/>
    </row>
    <row r="113" ht="12.75" customHeight="1">
      <c r="F113" s="4"/>
      <c r="G113" s="4"/>
      <c r="H113" s="4"/>
      <c r="I113" s="4"/>
      <c r="J113" s="4"/>
      <c r="K113" s="4"/>
      <c r="L113" s="4"/>
      <c r="M113" s="4"/>
    </row>
    <row r="114" ht="12.75" customHeight="1">
      <c r="F114" s="4"/>
      <c r="G114" s="4"/>
      <c r="H114" s="4"/>
      <c r="I114" s="4"/>
      <c r="J114" s="4"/>
      <c r="K114" s="4"/>
      <c r="L114" s="4"/>
      <c r="M114" s="4"/>
    </row>
    <row r="115" ht="12.75" customHeight="1">
      <c r="F115" s="4"/>
      <c r="G115" s="4"/>
      <c r="H115" s="4"/>
      <c r="I115" s="4"/>
      <c r="J115" s="4"/>
      <c r="K115" s="4"/>
      <c r="L115" s="4"/>
      <c r="M115" s="4"/>
    </row>
    <row r="116" ht="12.75" customHeight="1">
      <c r="F116" s="4"/>
      <c r="G116" s="4"/>
      <c r="H116" s="4"/>
      <c r="I116" s="4"/>
      <c r="J116" s="4"/>
      <c r="K116" s="4"/>
      <c r="L116" s="4"/>
      <c r="M116" s="4"/>
    </row>
    <row r="117" ht="12.75" customHeight="1">
      <c r="F117" s="4"/>
      <c r="G117" s="4"/>
      <c r="H117" s="4"/>
      <c r="I117" s="4"/>
      <c r="J117" s="4"/>
      <c r="K117" s="4"/>
      <c r="L117" s="4"/>
      <c r="M117" s="4"/>
    </row>
    <row r="118" ht="12.75" customHeight="1">
      <c r="F118" s="4"/>
      <c r="G118" s="4"/>
      <c r="H118" s="4"/>
      <c r="I118" s="4"/>
      <c r="J118" s="4"/>
      <c r="K118" s="4"/>
      <c r="L118" s="4"/>
      <c r="M118" s="4"/>
    </row>
    <row r="119" ht="12.75" customHeight="1">
      <c r="F119" s="4"/>
      <c r="G119" s="4"/>
      <c r="H119" s="4"/>
      <c r="I119" s="4"/>
      <c r="J119" s="4"/>
      <c r="K119" s="4"/>
      <c r="L119" s="4"/>
      <c r="M119" s="4"/>
    </row>
    <row r="120" ht="12.75" customHeight="1">
      <c r="F120" s="4"/>
      <c r="G120" s="4"/>
      <c r="H120" s="4"/>
      <c r="I120" s="4"/>
      <c r="J120" s="4"/>
      <c r="K120" s="4"/>
      <c r="L120" s="4"/>
      <c r="M120" s="4"/>
    </row>
    <row r="121" ht="12.75" customHeight="1">
      <c r="F121" s="4"/>
      <c r="G121" s="4"/>
      <c r="H121" s="4"/>
      <c r="I121" s="4"/>
      <c r="J121" s="4"/>
      <c r="K121" s="4"/>
      <c r="L121" s="4"/>
      <c r="M121" s="4"/>
    </row>
    <row r="122" ht="12.75" customHeight="1">
      <c r="F122" s="4"/>
      <c r="G122" s="4"/>
      <c r="H122" s="4"/>
      <c r="I122" s="4"/>
      <c r="J122" s="4"/>
      <c r="K122" s="4"/>
      <c r="L122" s="4"/>
      <c r="M122" s="4"/>
    </row>
    <row r="123" ht="12.75" customHeight="1">
      <c r="F123" s="4"/>
      <c r="G123" s="4"/>
      <c r="H123" s="4"/>
      <c r="I123" s="4"/>
      <c r="J123" s="4"/>
      <c r="K123" s="4"/>
      <c r="L123" s="4"/>
      <c r="M123" s="4"/>
    </row>
    <row r="124" ht="12.75" customHeight="1">
      <c r="F124" s="4"/>
      <c r="G124" s="4"/>
      <c r="H124" s="4"/>
      <c r="I124" s="4"/>
      <c r="J124" s="4"/>
      <c r="K124" s="4"/>
      <c r="L124" s="4"/>
      <c r="M124" s="4"/>
    </row>
    <row r="125" ht="12.75" customHeight="1">
      <c r="F125" s="4"/>
      <c r="G125" s="4"/>
      <c r="H125" s="4"/>
      <c r="I125" s="4"/>
      <c r="J125" s="4"/>
      <c r="K125" s="4"/>
      <c r="L125" s="4"/>
      <c r="M125" s="4"/>
    </row>
    <row r="126" ht="12.75" customHeight="1">
      <c r="F126" s="4"/>
      <c r="G126" s="4"/>
      <c r="H126" s="4"/>
      <c r="I126" s="4"/>
      <c r="J126" s="4"/>
      <c r="K126" s="4"/>
      <c r="L126" s="4"/>
      <c r="M126" s="4"/>
    </row>
    <row r="127" ht="12.75" customHeight="1">
      <c r="F127" s="4"/>
      <c r="G127" s="4"/>
      <c r="H127" s="4"/>
      <c r="I127" s="4"/>
      <c r="J127" s="4"/>
      <c r="K127" s="4"/>
      <c r="L127" s="4"/>
      <c r="M127" s="4"/>
    </row>
    <row r="128" ht="12.75" customHeight="1">
      <c r="F128" s="4"/>
      <c r="G128" s="4"/>
      <c r="H128" s="4"/>
      <c r="I128" s="4"/>
      <c r="J128" s="4"/>
      <c r="K128" s="4"/>
      <c r="L128" s="4"/>
      <c r="M128" s="4"/>
    </row>
    <row r="129" ht="12.75" customHeight="1">
      <c r="F129" s="4"/>
      <c r="G129" s="4"/>
      <c r="H129" s="4"/>
      <c r="I129" s="4"/>
      <c r="J129" s="4"/>
      <c r="K129" s="4"/>
      <c r="L129" s="4"/>
      <c r="M129" s="4"/>
    </row>
    <row r="130" ht="12.75" customHeight="1">
      <c r="F130" s="4"/>
      <c r="G130" s="4"/>
      <c r="H130" s="4"/>
      <c r="I130" s="4"/>
      <c r="J130" s="4"/>
      <c r="K130" s="4"/>
      <c r="L130" s="4"/>
      <c r="M130" s="4"/>
    </row>
    <row r="131" ht="12.75" customHeight="1">
      <c r="F131" s="4"/>
      <c r="G131" s="4"/>
      <c r="H131" s="4"/>
      <c r="I131" s="4"/>
      <c r="J131" s="4"/>
      <c r="K131" s="4"/>
      <c r="L131" s="4"/>
      <c r="M131" s="4"/>
    </row>
    <row r="132" ht="12.75" customHeight="1">
      <c r="F132" s="4"/>
      <c r="G132" s="4"/>
      <c r="H132" s="4"/>
      <c r="I132" s="4"/>
      <c r="J132" s="4"/>
      <c r="K132" s="4"/>
      <c r="L132" s="4"/>
      <c r="M132" s="4"/>
    </row>
    <row r="133" ht="12.75" customHeight="1">
      <c r="F133" s="4"/>
      <c r="G133" s="4"/>
      <c r="H133" s="4"/>
      <c r="I133" s="4"/>
      <c r="J133" s="4"/>
      <c r="K133" s="4"/>
      <c r="L133" s="4"/>
      <c r="M133" s="4"/>
    </row>
    <row r="134" ht="12.75" customHeight="1">
      <c r="F134" s="4"/>
      <c r="G134" s="4"/>
      <c r="H134" s="4"/>
      <c r="I134" s="4"/>
      <c r="J134" s="4"/>
      <c r="K134" s="4"/>
      <c r="L134" s="4"/>
      <c r="M134" s="4"/>
    </row>
    <row r="135" ht="12.75" customHeight="1">
      <c r="F135" s="4"/>
      <c r="G135" s="4"/>
      <c r="H135" s="4"/>
      <c r="I135" s="4"/>
      <c r="J135" s="4"/>
      <c r="K135" s="4"/>
      <c r="L135" s="4"/>
      <c r="M135" s="4"/>
    </row>
    <row r="136" ht="12.75" customHeight="1">
      <c r="F136" s="4"/>
      <c r="G136" s="4"/>
      <c r="H136" s="4"/>
      <c r="I136" s="4"/>
      <c r="J136" s="4"/>
      <c r="K136" s="4"/>
      <c r="L136" s="4"/>
      <c r="M136" s="4"/>
    </row>
    <row r="137" ht="12.75" customHeight="1">
      <c r="F137" s="4"/>
      <c r="G137" s="4"/>
      <c r="H137" s="4"/>
      <c r="I137" s="4"/>
      <c r="J137" s="4"/>
      <c r="K137" s="4"/>
      <c r="L137" s="4"/>
      <c r="M137" s="4"/>
    </row>
    <row r="138" ht="12.75" customHeight="1">
      <c r="F138" s="4"/>
      <c r="G138" s="4"/>
      <c r="H138" s="4"/>
      <c r="I138" s="4"/>
      <c r="J138" s="4"/>
      <c r="K138" s="4"/>
      <c r="L138" s="4"/>
      <c r="M138" s="4"/>
    </row>
    <row r="139" ht="12.75" customHeight="1">
      <c r="F139" s="4"/>
      <c r="G139" s="4"/>
      <c r="H139" s="4"/>
      <c r="I139" s="4"/>
      <c r="J139" s="4"/>
      <c r="K139" s="4"/>
      <c r="L139" s="4"/>
      <c r="M139" s="4"/>
    </row>
    <row r="140" ht="12.75" customHeight="1">
      <c r="F140" s="4"/>
      <c r="G140" s="4"/>
      <c r="H140" s="4"/>
      <c r="I140" s="4"/>
      <c r="J140" s="4"/>
      <c r="K140" s="4"/>
      <c r="L140" s="4"/>
      <c r="M140" s="4"/>
    </row>
    <row r="141" ht="12.75" customHeight="1">
      <c r="F141" s="4"/>
      <c r="G141" s="4"/>
      <c r="H141" s="4"/>
      <c r="I141" s="4"/>
      <c r="J141" s="4"/>
      <c r="K141" s="4"/>
      <c r="L141" s="4"/>
      <c r="M141" s="4"/>
    </row>
    <row r="142" ht="12.75" customHeight="1">
      <c r="F142" s="4"/>
      <c r="G142" s="4"/>
      <c r="H142" s="4"/>
      <c r="I142" s="4"/>
      <c r="J142" s="4"/>
      <c r="K142" s="4"/>
      <c r="L142" s="4"/>
      <c r="M142" s="4"/>
    </row>
    <row r="143" ht="12.75" customHeight="1">
      <c r="F143" s="4"/>
      <c r="G143" s="4"/>
      <c r="H143" s="4"/>
      <c r="I143" s="4"/>
      <c r="J143" s="4"/>
      <c r="K143" s="4"/>
      <c r="L143" s="4"/>
      <c r="M143" s="4"/>
    </row>
    <row r="144" ht="12.75" customHeight="1">
      <c r="F144" s="4"/>
      <c r="G144" s="4"/>
      <c r="H144" s="4"/>
      <c r="I144" s="4"/>
      <c r="J144" s="4"/>
      <c r="K144" s="4"/>
      <c r="L144" s="4"/>
      <c r="M144" s="4"/>
    </row>
    <row r="145" ht="12.75" customHeight="1">
      <c r="F145" s="4"/>
      <c r="G145" s="4"/>
      <c r="H145" s="4"/>
      <c r="I145" s="4"/>
      <c r="J145" s="4"/>
      <c r="K145" s="4"/>
      <c r="L145" s="4"/>
      <c r="M145" s="4"/>
    </row>
    <row r="146" ht="12.75" customHeight="1">
      <c r="F146" s="4"/>
      <c r="G146" s="4"/>
      <c r="H146" s="4"/>
      <c r="I146" s="4"/>
      <c r="J146" s="4"/>
      <c r="K146" s="4"/>
      <c r="L146" s="4"/>
      <c r="M146" s="4"/>
    </row>
    <row r="147" ht="12.75" customHeight="1">
      <c r="F147" s="4"/>
      <c r="G147" s="4"/>
      <c r="H147" s="4"/>
      <c r="I147" s="4"/>
      <c r="J147" s="4"/>
      <c r="K147" s="4"/>
      <c r="L147" s="4"/>
      <c r="M147" s="4"/>
    </row>
    <row r="148" ht="12.75" customHeight="1">
      <c r="F148" s="4"/>
      <c r="G148" s="4"/>
      <c r="H148" s="4"/>
      <c r="I148" s="4"/>
      <c r="J148" s="4"/>
      <c r="K148" s="4"/>
      <c r="L148" s="4"/>
      <c r="M148" s="4"/>
    </row>
    <row r="149" ht="12.75" customHeight="1">
      <c r="F149" s="4"/>
      <c r="G149" s="4"/>
      <c r="H149" s="4"/>
      <c r="I149" s="4"/>
      <c r="J149" s="4"/>
      <c r="K149" s="4"/>
      <c r="L149" s="4"/>
      <c r="M149" s="4"/>
    </row>
    <row r="150" ht="12.75" customHeight="1">
      <c r="F150" s="4"/>
      <c r="G150" s="4"/>
      <c r="H150" s="4"/>
      <c r="I150" s="4"/>
      <c r="J150" s="4"/>
      <c r="K150" s="4"/>
      <c r="L150" s="4"/>
      <c r="M150" s="4"/>
    </row>
    <row r="151" ht="12.75" customHeight="1">
      <c r="F151" s="4"/>
      <c r="G151" s="4"/>
      <c r="H151" s="4"/>
      <c r="I151" s="4"/>
      <c r="J151" s="4"/>
      <c r="K151" s="4"/>
      <c r="L151" s="4"/>
      <c r="M151" s="4"/>
    </row>
    <row r="152" ht="12.75" customHeight="1">
      <c r="F152" s="4"/>
      <c r="G152" s="4"/>
      <c r="H152" s="4"/>
      <c r="I152" s="4"/>
      <c r="J152" s="4"/>
      <c r="K152" s="4"/>
      <c r="L152" s="4"/>
      <c r="M152" s="4"/>
    </row>
    <row r="153" ht="12.75" customHeight="1">
      <c r="F153" s="4"/>
      <c r="G153" s="4"/>
      <c r="H153" s="4"/>
      <c r="I153" s="4"/>
      <c r="J153" s="4"/>
      <c r="K153" s="4"/>
      <c r="L153" s="4"/>
      <c r="M153" s="4"/>
    </row>
    <row r="154" ht="12.75" customHeight="1">
      <c r="F154" s="4"/>
      <c r="G154" s="4"/>
      <c r="H154" s="4"/>
      <c r="I154" s="4"/>
      <c r="J154" s="4"/>
      <c r="K154" s="4"/>
      <c r="L154" s="4"/>
      <c r="M154" s="4"/>
    </row>
    <row r="155" ht="12.75" customHeight="1">
      <c r="F155" s="4"/>
      <c r="G155" s="4"/>
      <c r="H155" s="4"/>
      <c r="I155" s="4"/>
      <c r="J155" s="4"/>
      <c r="K155" s="4"/>
      <c r="L155" s="4"/>
      <c r="M155" s="4"/>
    </row>
    <row r="156" ht="12.75" customHeight="1">
      <c r="F156" s="4"/>
      <c r="G156" s="4"/>
      <c r="H156" s="4"/>
      <c r="I156" s="4"/>
      <c r="J156" s="4"/>
      <c r="K156" s="4"/>
      <c r="L156" s="4"/>
      <c r="M156" s="4"/>
    </row>
    <row r="157" ht="12.75" customHeight="1">
      <c r="F157" s="4"/>
      <c r="G157" s="4"/>
      <c r="H157" s="4"/>
      <c r="I157" s="4"/>
      <c r="J157" s="4"/>
      <c r="K157" s="4"/>
      <c r="L157" s="4"/>
      <c r="M157" s="4"/>
    </row>
    <row r="158" ht="12.75" customHeight="1">
      <c r="F158" s="4"/>
      <c r="G158" s="4"/>
      <c r="H158" s="4"/>
      <c r="I158" s="4"/>
      <c r="J158" s="4"/>
      <c r="K158" s="4"/>
      <c r="L158" s="4"/>
      <c r="M158" s="4"/>
    </row>
    <row r="159" ht="12.75" customHeight="1">
      <c r="F159" s="4"/>
      <c r="G159" s="4"/>
      <c r="H159" s="4"/>
      <c r="I159" s="4"/>
      <c r="J159" s="4"/>
      <c r="K159" s="4"/>
      <c r="L159" s="4"/>
      <c r="M159" s="4"/>
    </row>
    <row r="160" ht="12.75" customHeight="1">
      <c r="F160" s="4"/>
      <c r="G160" s="4"/>
      <c r="H160" s="4"/>
      <c r="I160" s="4"/>
      <c r="J160" s="4"/>
      <c r="K160" s="4"/>
      <c r="L160" s="4"/>
      <c r="M160" s="4"/>
    </row>
    <row r="161" ht="12.75" customHeight="1">
      <c r="F161" s="4"/>
      <c r="G161" s="4"/>
      <c r="H161" s="4"/>
      <c r="I161" s="4"/>
      <c r="J161" s="4"/>
      <c r="K161" s="4"/>
      <c r="L161" s="4"/>
      <c r="M161" s="4"/>
    </row>
    <row r="162" ht="12.75" customHeight="1">
      <c r="F162" s="4"/>
      <c r="G162" s="4"/>
      <c r="H162" s="4"/>
      <c r="I162" s="4"/>
      <c r="J162" s="4"/>
      <c r="K162" s="4"/>
      <c r="L162" s="4"/>
      <c r="M162" s="4"/>
    </row>
    <row r="163" ht="12.75" customHeight="1">
      <c r="F163" s="4"/>
      <c r="G163" s="4"/>
      <c r="H163" s="4"/>
      <c r="I163" s="4"/>
      <c r="J163" s="4"/>
      <c r="K163" s="4"/>
      <c r="L163" s="4"/>
      <c r="M163" s="4"/>
    </row>
    <row r="164" ht="12.75" customHeight="1">
      <c r="F164" s="4"/>
      <c r="G164" s="4"/>
      <c r="H164" s="4"/>
      <c r="I164" s="4"/>
      <c r="J164" s="4"/>
      <c r="K164" s="4"/>
      <c r="L164" s="4"/>
      <c r="M164" s="4"/>
    </row>
    <row r="165" ht="12.75" customHeight="1">
      <c r="F165" s="4"/>
      <c r="G165" s="4"/>
      <c r="H165" s="4"/>
      <c r="I165" s="4"/>
      <c r="J165" s="4"/>
      <c r="K165" s="4"/>
      <c r="L165" s="4"/>
      <c r="M165" s="4"/>
    </row>
    <row r="166" ht="12.75" customHeight="1">
      <c r="F166" s="4"/>
      <c r="G166" s="4"/>
      <c r="H166" s="4"/>
      <c r="I166" s="4"/>
      <c r="J166" s="4"/>
      <c r="K166" s="4"/>
      <c r="L166" s="4"/>
      <c r="M166" s="4"/>
    </row>
    <row r="167" ht="12.75" customHeight="1">
      <c r="F167" s="4"/>
      <c r="G167" s="4"/>
      <c r="H167" s="4"/>
      <c r="I167" s="4"/>
      <c r="J167" s="4"/>
      <c r="K167" s="4"/>
      <c r="L167" s="4"/>
      <c r="M167" s="4"/>
    </row>
    <row r="168" ht="12.75" customHeight="1">
      <c r="F168" s="4"/>
      <c r="G168" s="4"/>
      <c r="H168" s="4"/>
      <c r="I168" s="4"/>
      <c r="J168" s="4"/>
      <c r="K168" s="4"/>
      <c r="L168" s="4"/>
      <c r="M168" s="4"/>
    </row>
    <row r="169" ht="12.75" customHeight="1">
      <c r="F169" s="4"/>
      <c r="G169" s="4"/>
      <c r="H169" s="4"/>
      <c r="I169" s="4"/>
      <c r="J169" s="4"/>
      <c r="K169" s="4"/>
      <c r="L169" s="4"/>
      <c r="M169" s="4"/>
    </row>
    <row r="170" ht="12.75" customHeight="1">
      <c r="F170" s="4"/>
      <c r="G170" s="4"/>
      <c r="H170" s="4"/>
      <c r="I170" s="4"/>
      <c r="J170" s="4"/>
      <c r="K170" s="4"/>
      <c r="L170" s="4"/>
      <c r="M170" s="4"/>
    </row>
    <row r="171" ht="12.75" customHeight="1">
      <c r="F171" s="4"/>
      <c r="G171" s="4"/>
      <c r="H171" s="4"/>
      <c r="I171" s="4"/>
      <c r="J171" s="4"/>
      <c r="K171" s="4"/>
      <c r="L171" s="4"/>
      <c r="M171" s="4"/>
    </row>
    <row r="172" ht="12.75" customHeight="1">
      <c r="F172" s="4"/>
      <c r="G172" s="4"/>
      <c r="H172" s="4"/>
      <c r="I172" s="4"/>
      <c r="J172" s="4"/>
      <c r="K172" s="4"/>
      <c r="L172" s="4"/>
      <c r="M172" s="4"/>
    </row>
    <row r="173" ht="12.75" customHeight="1">
      <c r="F173" s="4"/>
      <c r="G173" s="4"/>
      <c r="H173" s="4"/>
      <c r="I173" s="4"/>
      <c r="J173" s="4"/>
      <c r="K173" s="4"/>
      <c r="L173" s="4"/>
      <c r="M173" s="4"/>
    </row>
    <row r="174" ht="12.75" customHeight="1">
      <c r="F174" s="4"/>
      <c r="G174" s="4"/>
      <c r="H174" s="4"/>
      <c r="I174" s="4"/>
      <c r="J174" s="4"/>
      <c r="K174" s="4"/>
      <c r="L174" s="4"/>
      <c r="M174" s="4"/>
    </row>
    <row r="175" ht="12.75" customHeight="1">
      <c r="F175" s="4"/>
      <c r="G175" s="4"/>
      <c r="H175" s="4"/>
      <c r="I175" s="4"/>
      <c r="J175" s="4"/>
      <c r="K175" s="4"/>
      <c r="L175" s="4"/>
      <c r="M175" s="4"/>
    </row>
    <row r="176" ht="12.75" customHeight="1">
      <c r="F176" s="4"/>
      <c r="G176" s="4"/>
      <c r="H176" s="4"/>
      <c r="I176" s="4"/>
      <c r="J176" s="4"/>
      <c r="K176" s="4"/>
      <c r="L176" s="4"/>
      <c r="M176" s="4"/>
    </row>
    <row r="177" ht="12.75" customHeight="1">
      <c r="F177" s="4"/>
      <c r="G177" s="4"/>
      <c r="H177" s="4"/>
      <c r="I177" s="4"/>
      <c r="J177" s="4"/>
      <c r="K177" s="4"/>
      <c r="L177" s="4"/>
      <c r="M177" s="4"/>
    </row>
    <row r="178" ht="12.75" customHeight="1">
      <c r="F178" s="4"/>
      <c r="G178" s="4"/>
      <c r="H178" s="4"/>
      <c r="I178" s="4"/>
      <c r="J178" s="4"/>
      <c r="K178" s="4"/>
      <c r="L178" s="4"/>
      <c r="M178" s="4"/>
    </row>
    <row r="179" ht="12.75" customHeight="1">
      <c r="F179" s="4"/>
      <c r="G179" s="4"/>
      <c r="H179" s="4"/>
      <c r="I179" s="4"/>
      <c r="J179" s="4"/>
      <c r="K179" s="4"/>
      <c r="L179" s="4"/>
      <c r="M179" s="4"/>
    </row>
    <row r="180" ht="12.75" customHeight="1">
      <c r="F180" s="4"/>
      <c r="G180" s="4"/>
      <c r="H180" s="4"/>
      <c r="I180" s="4"/>
      <c r="J180" s="4"/>
      <c r="K180" s="4"/>
      <c r="L180" s="4"/>
      <c r="M180" s="4"/>
    </row>
    <row r="181" ht="12.75" customHeight="1">
      <c r="F181" s="4"/>
      <c r="G181" s="4"/>
      <c r="H181" s="4"/>
      <c r="I181" s="4"/>
      <c r="J181" s="4"/>
      <c r="K181" s="4"/>
      <c r="L181" s="4"/>
      <c r="M181" s="4"/>
    </row>
    <row r="182" ht="12.75" customHeight="1">
      <c r="F182" s="4"/>
      <c r="G182" s="4"/>
      <c r="H182" s="4"/>
      <c r="I182" s="4"/>
      <c r="J182" s="4"/>
      <c r="K182" s="4"/>
      <c r="L182" s="4"/>
      <c r="M182" s="4"/>
    </row>
    <row r="183" ht="12.75" customHeight="1">
      <c r="F183" s="4"/>
      <c r="G183" s="4"/>
      <c r="H183" s="4"/>
      <c r="I183" s="4"/>
      <c r="J183" s="4"/>
      <c r="K183" s="4"/>
      <c r="L183" s="4"/>
      <c r="M183" s="4"/>
    </row>
    <row r="184" ht="12.75" customHeight="1">
      <c r="F184" s="4"/>
      <c r="G184" s="4"/>
      <c r="H184" s="4"/>
      <c r="I184" s="4"/>
      <c r="J184" s="4"/>
      <c r="K184" s="4"/>
      <c r="L184" s="4"/>
      <c r="M184" s="4"/>
    </row>
    <row r="185" ht="12.75" customHeight="1">
      <c r="F185" s="4"/>
      <c r="G185" s="4"/>
      <c r="H185" s="4"/>
      <c r="I185" s="4"/>
      <c r="J185" s="4"/>
      <c r="K185" s="4"/>
      <c r="L185" s="4"/>
      <c r="M185" s="4"/>
    </row>
    <row r="186" ht="12.75" customHeight="1">
      <c r="F186" s="4"/>
      <c r="G186" s="4"/>
      <c r="H186" s="4"/>
      <c r="I186" s="4"/>
      <c r="J186" s="4"/>
      <c r="K186" s="4"/>
      <c r="L186" s="4"/>
      <c r="M186" s="4"/>
    </row>
    <row r="187" ht="12.75" customHeight="1">
      <c r="F187" s="4"/>
      <c r="G187" s="4"/>
      <c r="H187" s="4"/>
      <c r="I187" s="4"/>
      <c r="J187" s="4"/>
      <c r="K187" s="4"/>
      <c r="L187" s="4"/>
      <c r="M187" s="4"/>
    </row>
    <row r="188" ht="12.75" customHeight="1">
      <c r="F188" s="4"/>
      <c r="G188" s="4"/>
      <c r="H188" s="4"/>
      <c r="I188" s="4"/>
      <c r="J188" s="4"/>
      <c r="K188" s="4"/>
      <c r="L188" s="4"/>
      <c r="M188" s="4"/>
    </row>
    <row r="189" ht="12.75" customHeight="1">
      <c r="F189" s="4"/>
      <c r="G189" s="4"/>
      <c r="H189" s="4"/>
      <c r="I189" s="4"/>
      <c r="J189" s="4"/>
      <c r="K189" s="4"/>
      <c r="L189" s="4"/>
      <c r="M189" s="4"/>
    </row>
    <row r="190" ht="12.75" customHeight="1">
      <c r="F190" s="4"/>
      <c r="G190" s="4"/>
      <c r="H190" s="4"/>
      <c r="I190" s="4"/>
      <c r="J190" s="4"/>
      <c r="K190" s="4"/>
      <c r="L190" s="4"/>
      <c r="M190" s="4"/>
    </row>
    <row r="191" ht="12.75" customHeight="1">
      <c r="F191" s="4"/>
      <c r="G191" s="4"/>
      <c r="H191" s="4"/>
      <c r="I191" s="4"/>
      <c r="J191" s="4"/>
      <c r="K191" s="4"/>
      <c r="L191" s="4"/>
      <c r="M191" s="4"/>
    </row>
    <row r="192" ht="12.75" customHeight="1">
      <c r="F192" s="4"/>
      <c r="G192" s="4"/>
      <c r="H192" s="4"/>
      <c r="I192" s="4"/>
      <c r="J192" s="4"/>
      <c r="K192" s="4"/>
      <c r="L192" s="4"/>
      <c r="M192" s="4"/>
    </row>
    <row r="193" ht="12.75" customHeight="1">
      <c r="F193" s="4"/>
      <c r="G193" s="4"/>
      <c r="H193" s="4"/>
      <c r="I193" s="4"/>
      <c r="J193" s="4"/>
      <c r="K193" s="4"/>
      <c r="L193" s="4"/>
      <c r="M193" s="4"/>
    </row>
    <row r="194" ht="12.75" customHeight="1">
      <c r="F194" s="4"/>
      <c r="G194" s="4"/>
      <c r="H194" s="4"/>
      <c r="I194" s="4"/>
      <c r="J194" s="4"/>
      <c r="K194" s="4"/>
      <c r="L194" s="4"/>
      <c r="M194" s="4"/>
    </row>
    <row r="195" ht="12.75" customHeight="1">
      <c r="F195" s="4"/>
      <c r="G195" s="4"/>
      <c r="H195" s="4"/>
      <c r="I195" s="4"/>
      <c r="J195" s="4"/>
      <c r="K195" s="4"/>
      <c r="L195" s="4"/>
      <c r="M195" s="4"/>
    </row>
    <row r="196" ht="12.75" customHeight="1">
      <c r="F196" s="4"/>
      <c r="G196" s="4"/>
      <c r="H196" s="4"/>
      <c r="I196" s="4"/>
      <c r="J196" s="4"/>
      <c r="K196" s="4"/>
      <c r="L196" s="4"/>
      <c r="M196" s="4"/>
    </row>
    <row r="197" ht="12.75" customHeight="1">
      <c r="F197" s="4"/>
      <c r="G197" s="4"/>
      <c r="H197" s="4"/>
      <c r="I197" s="4"/>
      <c r="J197" s="4"/>
      <c r="K197" s="4"/>
      <c r="L197" s="4"/>
      <c r="M197" s="4"/>
    </row>
    <row r="198" ht="12.75" customHeight="1">
      <c r="F198" s="4"/>
      <c r="G198" s="4"/>
      <c r="H198" s="4"/>
      <c r="I198" s="4"/>
      <c r="J198" s="4"/>
      <c r="K198" s="4"/>
      <c r="L198" s="4"/>
      <c r="M198" s="4"/>
    </row>
    <row r="199" ht="12.75" customHeight="1">
      <c r="F199" s="4"/>
      <c r="G199" s="4"/>
      <c r="H199" s="4"/>
      <c r="I199" s="4"/>
      <c r="J199" s="4"/>
      <c r="K199" s="4"/>
      <c r="L199" s="4"/>
      <c r="M199" s="4"/>
    </row>
    <row r="200" ht="12.75" customHeight="1">
      <c r="F200" s="4"/>
      <c r="G200" s="4"/>
      <c r="H200" s="4"/>
      <c r="I200" s="4"/>
      <c r="J200" s="4"/>
      <c r="K200" s="4"/>
      <c r="L200" s="4"/>
      <c r="M200" s="4"/>
    </row>
    <row r="201" ht="12.75" customHeight="1">
      <c r="F201" s="4"/>
      <c r="G201" s="4"/>
      <c r="H201" s="4"/>
      <c r="I201" s="4"/>
      <c r="J201" s="4"/>
      <c r="K201" s="4"/>
      <c r="L201" s="4"/>
      <c r="M201" s="4"/>
    </row>
    <row r="202" ht="12.75" customHeight="1">
      <c r="F202" s="4"/>
      <c r="G202" s="4"/>
      <c r="H202" s="4"/>
      <c r="I202" s="4"/>
      <c r="J202" s="4"/>
      <c r="K202" s="4"/>
      <c r="L202" s="4"/>
      <c r="M202" s="4"/>
    </row>
    <row r="203" ht="12.75" customHeight="1">
      <c r="F203" s="4"/>
      <c r="G203" s="4"/>
      <c r="H203" s="4"/>
      <c r="I203" s="4"/>
      <c r="J203" s="4"/>
      <c r="K203" s="4"/>
      <c r="L203" s="4"/>
      <c r="M203" s="4"/>
    </row>
    <row r="204" ht="12.75" customHeight="1">
      <c r="F204" s="4"/>
      <c r="G204" s="4"/>
      <c r="H204" s="4"/>
      <c r="I204" s="4"/>
      <c r="J204" s="4"/>
      <c r="K204" s="4"/>
      <c r="L204" s="4"/>
      <c r="M204" s="4"/>
    </row>
    <row r="205" ht="12.75" customHeight="1">
      <c r="F205" s="4"/>
      <c r="G205" s="4"/>
      <c r="H205" s="4"/>
      <c r="I205" s="4"/>
      <c r="J205" s="4"/>
      <c r="K205" s="4"/>
      <c r="L205" s="4"/>
      <c r="M205" s="4"/>
    </row>
    <row r="206" ht="12.75" customHeight="1">
      <c r="F206" s="4"/>
      <c r="G206" s="4"/>
      <c r="H206" s="4"/>
      <c r="I206" s="4"/>
      <c r="J206" s="4"/>
      <c r="K206" s="4"/>
      <c r="L206" s="4"/>
      <c r="M206" s="4"/>
    </row>
    <row r="207" ht="12.75" customHeight="1">
      <c r="F207" s="4"/>
      <c r="G207" s="4"/>
      <c r="H207" s="4"/>
      <c r="I207" s="4"/>
      <c r="J207" s="4"/>
      <c r="K207" s="4"/>
      <c r="L207" s="4"/>
      <c r="M207" s="4"/>
    </row>
    <row r="208" ht="12.75" customHeight="1">
      <c r="F208" s="4"/>
      <c r="G208" s="4"/>
      <c r="H208" s="4"/>
      <c r="I208" s="4"/>
      <c r="J208" s="4"/>
      <c r="K208" s="4"/>
      <c r="L208" s="4"/>
      <c r="M208" s="4"/>
    </row>
    <row r="209" ht="12.75" customHeight="1">
      <c r="F209" s="4"/>
      <c r="G209" s="4"/>
      <c r="H209" s="4"/>
      <c r="I209" s="4"/>
      <c r="J209" s="4"/>
      <c r="K209" s="4"/>
      <c r="L209" s="4"/>
      <c r="M209" s="4"/>
    </row>
    <row r="210" ht="12.75" customHeight="1">
      <c r="F210" s="4"/>
      <c r="G210" s="4"/>
      <c r="H210" s="4"/>
      <c r="I210" s="4"/>
      <c r="J210" s="4"/>
      <c r="K210" s="4"/>
      <c r="L210" s="4"/>
      <c r="M210" s="4"/>
    </row>
    <row r="211" ht="12.75" customHeight="1">
      <c r="F211" s="4"/>
      <c r="G211" s="4"/>
      <c r="H211" s="4"/>
      <c r="I211" s="4"/>
      <c r="J211" s="4"/>
      <c r="K211" s="4"/>
      <c r="L211" s="4"/>
      <c r="M211" s="4"/>
    </row>
    <row r="212" ht="12.75" customHeight="1">
      <c r="F212" s="4"/>
      <c r="G212" s="4"/>
      <c r="H212" s="4"/>
      <c r="I212" s="4"/>
      <c r="J212" s="4"/>
      <c r="K212" s="4"/>
      <c r="L212" s="4"/>
      <c r="M212" s="4"/>
    </row>
    <row r="213" ht="12.75" customHeight="1">
      <c r="F213" s="4"/>
      <c r="G213" s="4"/>
      <c r="H213" s="4"/>
      <c r="I213" s="4"/>
      <c r="J213" s="4"/>
      <c r="K213" s="4"/>
      <c r="L213" s="4"/>
      <c r="M213" s="4"/>
    </row>
    <row r="214" ht="12.75" customHeight="1">
      <c r="F214" s="4"/>
      <c r="G214" s="4"/>
      <c r="H214" s="4"/>
      <c r="I214" s="4"/>
      <c r="J214" s="4"/>
      <c r="K214" s="4"/>
      <c r="L214" s="4"/>
      <c r="M214" s="4"/>
    </row>
    <row r="215" ht="12.75" customHeight="1">
      <c r="F215" s="4"/>
      <c r="G215" s="4"/>
      <c r="H215" s="4"/>
      <c r="I215" s="4"/>
      <c r="J215" s="4"/>
      <c r="K215" s="4"/>
      <c r="L215" s="4"/>
      <c r="M215" s="4"/>
    </row>
    <row r="216" ht="12.75" customHeight="1">
      <c r="F216" s="4"/>
      <c r="G216" s="4"/>
      <c r="H216" s="4"/>
      <c r="I216" s="4"/>
      <c r="J216" s="4"/>
      <c r="K216" s="4"/>
      <c r="L216" s="4"/>
      <c r="M216" s="4"/>
    </row>
    <row r="217" ht="12.75" customHeight="1">
      <c r="F217" s="4"/>
      <c r="G217" s="4"/>
      <c r="H217" s="4"/>
      <c r="I217" s="4"/>
      <c r="J217" s="4"/>
      <c r="K217" s="4"/>
      <c r="L217" s="4"/>
      <c r="M217" s="4"/>
    </row>
    <row r="218" ht="12.75" customHeight="1">
      <c r="F218" s="4"/>
      <c r="G218" s="4"/>
      <c r="H218" s="4"/>
      <c r="I218" s="4"/>
      <c r="J218" s="4"/>
      <c r="K218" s="4"/>
      <c r="L218" s="4"/>
      <c r="M218" s="4"/>
    </row>
    <row r="219" ht="12.75" customHeight="1">
      <c r="F219" s="4"/>
      <c r="G219" s="4"/>
      <c r="H219" s="4"/>
      <c r="I219" s="4"/>
      <c r="J219" s="4"/>
      <c r="K219" s="4"/>
      <c r="L219" s="4"/>
      <c r="M219" s="4"/>
    </row>
    <row r="220" ht="12.75" customHeight="1">
      <c r="F220" s="4"/>
      <c r="G220" s="4"/>
      <c r="H220" s="4"/>
      <c r="I220" s="4"/>
      <c r="J220" s="4"/>
      <c r="K220" s="4"/>
      <c r="L220" s="4"/>
      <c r="M220" s="4"/>
    </row>
    <row r="221" ht="12.75" customHeight="1">
      <c r="F221" s="4"/>
      <c r="G221" s="4"/>
      <c r="H221" s="4"/>
      <c r="I221" s="4"/>
      <c r="J221" s="4"/>
      <c r="K221" s="4"/>
      <c r="L221" s="4"/>
      <c r="M221" s="4"/>
    </row>
    <row r="222" ht="12.75" customHeight="1">
      <c r="F222" s="4"/>
      <c r="G222" s="4"/>
      <c r="H222" s="4"/>
      <c r="I222" s="4"/>
      <c r="J222" s="4"/>
      <c r="K222" s="4"/>
      <c r="L222" s="4"/>
      <c r="M222" s="4"/>
    </row>
    <row r="223" ht="12.75" customHeight="1">
      <c r="F223" s="4"/>
      <c r="G223" s="4"/>
      <c r="H223" s="4"/>
      <c r="I223" s="4"/>
      <c r="J223" s="4"/>
      <c r="K223" s="4"/>
      <c r="L223" s="4"/>
      <c r="M223" s="4"/>
    </row>
    <row r="224" ht="12.75" customHeight="1">
      <c r="F224" s="4"/>
      <c r="G224" s="4"/>
      <c r="H224" s="4"/>
      <c r="I224" s="4"/>
      <c r="J224" s="4"/>
      <c r="K224" s="4"/>
      <c r="L224" s="4"/>
      <c r="M224" s="4"/>
    </row>
    <row r="225" ht="12.75" customHeight="1">
      <c r="F225" s="4"/>
      <c r="G225" s="4"/>
      <c r="H225" s="4"/>
      <c r="I225" s="4"/>
      <c r="J225" s="4"/>
      <c r="K225" s="4"/>
      <c r="L225" s="4"/>
      <c r="M225" s="4"/>
    </row>
    <row r="226" ht="12.75" customHeight="1">
      <c r="F226" s="4"/>
      <c r="G226" s="4"/>
      <c r="H226" s="4"/>
      <c r="I226" s="4"/>
      <c r="J226" s="4"/>
      <c r="K226" s="4"/>
      <c r="L226" s="4"/>
      <c r="M226" s="4"/>
    </row>
    <row r="227" ht="12.75" customHeight="1">
      <c r="F227" s="4"/>
      <c r="G227" s="4"/>
      <c r="H227" s="4"/>
      <c r="I227" s="4"/>
      <c r="J227" s="4"/>
      <c r="K227" s="4"/>
      <c r="L227" s="4"/>
      <c r="M227" s="4"/>
    </row>
    <row r="228" ht="12.75" customHeight="1">
      <c r="F228" s="4"/>
      <c r="G228" s="4"/>
      <c r="H228" s="4"/>
      <c r="I228" s="4"/>
      <c r="J228" s="4"/>
      <c r="K228" s="4"/>
      <c r="L228" s="4"/>
      <c r="M228" s="4"/>
    </row>
    <row r="229" ht="12.75" customHeight="1">
      <c r="F229" s="4"/>
      <c r="G229" s="4"/>
      <c r="H229" s="4"/>
      <c r="I229" s="4"/>
      <c r="J229" s="4"/>
      <c r="K229" s="4"/>
      <c r="L229" s="4"/>
      <c r="M229" s="4"/>
    </row>
    <row r="230" ht="12.75" customHeight="1">
      <c r="F230" s="4"/>
      <c r="G230" s="4"/>
      <c r="H230" s="4"/>
      <c r="I230" s="4"/>
      <c r="J230" s="4"/>
      <c r="K230" s="4"/>
      <c r="L230" s="4"/>
      <c r="M230" s="4"/>
    </row>
    <row r="231" ht="12.75" customHeight="1">
      <c r="F231" s="4"/>
      <c r="G231" s="4"/>
      <c r="H231" s="4"/>
      <c r="I231" s="4"/>
      <c r="J231" s="4"/>
      <c r="K231" s="4"/>
      <c r="L231" s="4"/>
      <c r="M231" s="4"/>
    </row>
    <row r="232" ht="12.75" customHeight="1">
      <c r="F232" s="4"/>
      <c r="G232" s="4"/>
      <c r="H232" s="4"/>
      <c r="I232" s="4"/>
      <c r="J232" s="4"/>
      <c r="K232" s="4"/>
      <c r="L232" s="4"/>
      <c r="M232" s="4"/>
    </row>
    <row r="233" ht="12.75" customHeight="1">
      <c r="F233" s="4"/>
      <c r="G233" s="4"/>
      <c r="H233" s="4"/>
      <c r="I233" s="4"/>
      <c r="J233" s="4"/>
      <c r="K233" s="4"/>
      <c r="L233" s="4"/>
      <c r="M233" s="4"/>
    </row>
    <row r="234" ht="12.75" customHeight="1">
      <c r="F234" s="4"/>
      <c r="G234" s="4"/>
      <c r="H234" s="4"/>
      <c r="I234" s="4"/>
      <c r="J234" s="4"/>
      <c r="K234" s="4"/>
      <c r="L234" s="4"/>
      <c r="M234" s="4"/>
    </row>
    <row r="235" ht="12.75" customHeight="1">
      <c r="F235" s="4"/>
      <c r="G235" s="4"/>
      <c r="H235" s="4"/>
      <c r="I235" s="4"/>
      <c r="J235" s="4"/>
      <c r="K235" s="4"/>
      <c r="L235" s="4"/>
      <c r="M235" s="4"/>
    </row>
    <row r="236" ht="12.75" customHeight="1">
      <c r="F236" s="4"/>
      <c r="G236" s="4"/>
      <c r="H236" s="4"/>
      <c r="I236" s="4"/>
      <c r="J236" s="4"/>
      <c r="K236" s="4"/>
      <c r="L236" s="4"/>
      <c r="M236" s="4"/>
    </row>
    <row r="237" ht="12.75" customHeight="1">
      <c r="F237" s="4"/>
      <c r="G237" s="4"/>
      <c r="H237" s="4"/>
      <c r="I237" s="4"/>
      <c r="J237" s="4"/>
      <c r="K237" s="4"/>
      <c r="L237" s="4"/>
      <c r="M237" s="4"/>
    </row>
    <row r="238" ht="12.75" customHeight="1">
      <c r="F238" s="4"/>
      <c r="G238" s="4"/>
      <c r="H238" s="4"/>
      <c r="I238" s="4"/>
      <c r="J238" s="4"/>
      <c r="K238" s="4"/>
      <c r="L238" s="4"/>
      <c r="M238" s="4"/>
    </row>
    <row r="239" ht="12.75" customHeight="1">
      <c r="F239" s="4"/>
      <c r="G239" s="4"/>
      <c r="H239" s="4"/>
      <c r="I239" s="4"/>
      <c r="J239" s="4"/>
      <c r="K239" s="4"/>
      <c r="L239" s="4"/>
      <c r="M239" s="4"/>
    </row>
    <row r="240" ht="12.75" customHeight="1">
      <c r="F240" s="4"/>
      <c r="G240" s="4"/>
      <c r="H240" s="4"/>
      <c r="I240" s="4"/>
      <c r="J240" s="4"/>
      <c r="K240" s="4"/>
      <c r="L240" s="4"/>
      <c r="M240" s="4"/>
    </row>
    <row r="241" ht="12.75" customHeight="1">
      <c r="F241" s="4"/>
      <c r="G241" s="4"/>
      <c r="H241" s="4"/>
      <c r="I241" s="4"/>
      <c r="J241" s="4"/>
      <c r="K241" s="4"/>
      <c r="L241" s="4"/>
      <c r="M241" s="4"/>
    </row>
    <row r="242" ht="12.75" customHeight="1">
      <c r="F242" s="4"/>
      <c r="G242" s="4"/>
      <c r="H242" s="4"/>
      <c r="I242" s="4"/>
      <c r="J242" s="4"/>
      <c r="K242" s="4"/>
      <c r="L242" s="4"/>
      <c r="M242" s="4"/>
    </row>
    <row r="243" ht="12.75" customHeight="1">
      <c r="F243" s="4"/>
      <c r="G243" s="4"/>
      <c r="H243" s="4"/>
      <c r="I243" s="4"/>
      <c r="J243" s="4"/>
      <c r="K243" s="4"/>
      <c r="L243" s="4"/>
      <c r="M243" s="4"/>
    </row>
    <row r="244" ht="12.75" customHeight="1">
      <c r="F244" s="4"/>
      <c r="G244" s="4"/>
      <c r="H244" s="4"/>
      <c r="I244" s="4"/>
      <c r="J244" s="4"/>
      <c r="K244" s="4"/>
      <c r="L244" s="4"/>
      <c r="M244" s="4"/>
    </row>
    <row r="245" ht="12.75" customHeight="1">
      <c r="F245" s="4"/>
      <c r="G245" s="4"/>
      <c r="H245" s="4"/>
      <c r="I245" s="4"/>
      <c r="J245" s="4"/>
      <c r="K245" s="4"/>
      <c r="L245" s="4"/>
      <c r="M245" s="4"/>
    </row>
    <row r="246" ht="12.75" customHeight="1">
      <c r="F246" s="4"/>
      <c r="G246" s="4"/>
      <c r="H246" s="4"/>
      <c r="I246" s="4"/>
      <c r="J246" s="4"/>
      <c r="K246" s="4"/>
      <c r="L246" s="4"/>
      <c r="M246" s="4"/>
    </row>
    <row r="247" ht="12.75" customHeight="1">
      <c r="F247" s="4"/>
      <c r="G247" s="4"/>
      <c r="H247" s="4"/>
      <c r="I247" s="4"/>
      <c r="J247" s="4"/>
      <c r="K247" s="4"/>
      <c r="L247" s="4"/>
      <c r="M247" s="4"/>
    </row>
    <row r="248" ht="12.75" customHeight="1">
      <c r="F248" s="4"/>
      <c r="G248" s="4"/>
      <c r="H248" s="4"/>
      <c r="I248" s="4"/>
      <c r="J248" s="4"/>
      <c r="K248" s="4"/>
      <c r="L248" s="4"/>
      <c r="M248" s="4"/>
    </row>
    <row r="249" ht="12.75" customHeight="1">
      <c r="F249" s="4"/>
      <c r="G249" s="4"/>
      <c r="H249" s="4"/>
      <c r="I249" s="4"/>
      <c r="J249" s="4"/>
      <c r="K249" s="4"/>
      <c r="L249" s="4"/>
      <c r="M249" s="4"/>
    </row>
    <row r="250" ht="12.75" customHeight="1">
      <c r="F250" s="4"/>
      <c r="G250" s="4"/>
      <c r="H250" s="4"/>
      <c r="I250" s="4"/>
      <c r="J250" s="4"/>
      <c r="K250" s="4"/>
      <c r="L250" s="4"/>
      <c r="M250" s="4"/>
    </row>
    <row r="251" ht="12.75" customHeight="1">
      <c r="F251" s="4"/>
      <c r="G251" s="4"/>
      <c r="H251" s="4"/>
      <c r="I251" s="4"/>
      <c r="J251" s="4"/>
      <c r="K251" s="4"/>
      <c r="L251" s="4"/>
      <c r="M251" s="4"/>
    </row>
    <row r="252" ht="12.75" customHeight="1">
      <c r="F252" s="4"/>
      <c r="G252" s="4"/>
      <c r="H252" s="4"/>
      <c r="I252" s="4"/>
      <c r="J252" s="4"/>
      <c r="K252" s="4"/>
      <c r="L252" s="4"/>
      <c r="M252" s="4"/>
    </row>
    <row r="253" ht="12.75" customHeight="1">
      <c r="F253" s="4"/>
      <c r="G253" s="4"/>
      <c r="H253" s="4"/>
      <c r="I253" s="4"/>
      <c r="J253" s="4"/>
      <c r="K253" s="4"/>
      <c r="L253" s="4"/>
      <c r="M253" s="4"/>
    </row>
    <row r="254" ht="12.75" customHeight="1">
      <c r="F254" s="4"/>
      <c r="G254" s="4"/>
      <c r="H254" s="4"/>
      <c r="I254" s="4"/>
      <c r="J254" s="4"/>
      <c r="K254" s="4"/>
      <c r="L254" s="4"/>
      <c r="M254" s="4"/>
    </row>
    <row r="255" ht="12.75" customHeight="1">
      <c r="F255" s="4"/>
      <c r="G255" s="4"/>
      <c r="H255" s="4"/>
      <c r="I255" s="4"/>
      <c r="J255" s="4"/>
      <c r="K255" s="4"/>
      <c r="L255" s="4"/>
      <c r="M255" s="4"/>
    </row>
    <row r="256" ht="12.75" customHeight="1">
      <c r="F256" s="4"/>
      <c r="G256" s="4"/>
      <c r="H256" s="4"/>
      <c r="I256" s="4"/>
      <c r="J256" s="4"/>
      <c r="K256" s="4"/>
      <c r="L256" s="4"/>
      <c r="M256" s="4"/>
    </row>
    <row r="257" ht="12.75" customHeight="1">
      <c r="F257" s="4"/>
      <c r="G257" s="4"/>
      <c r="H257" s="4"/>
      <c r="I257" s="4"/>
      <c r="J257" s="4"/>
      <c r="K257" s="4"/>
      <c r="L257" s="4"/>
      <c r="M257" s="4"/>
    </row>
    <row r="258" ht="12.75" customHeight="1">
      <c r="F258" s="4"/>
      <c r="G258" s="4"/>
      <c r="H258" s="4"/>
      <c r="I258" s="4"/>
      <c r="J258" s="4"/>
      <c r="K258" s="4"/>
      <c r="L258" s="4"/>
      <c r="M258" s="4"/>
    </row>
    <row r="259" ht="12.75" customHeight="1">
      <c r="F259" s="4"/>
      <c r="G259" s="4"/>
      <c r="H259" s="4"/>
      <c r="I259" s="4"/>
      <c r="J259" s="4"/>
      <c r="K259" s="4"/>
      <c r="L259" s="4"/>
      <c r="M259" s="4"/>
    </row>
    <row r="260" ht="12.75" customHeight="1">
      <c r="F260" s="4"/>
      <c r="G260" s="4"/>
      <c r="H260" s="4"/>
      <c r="I260" s="4"/>
      <c r="J260" s="4"/>
      <c r="K260" s="4"/>
      <c r="L260" s="4"/>
      <c r="M260" s="4"/>
    </row>
    <row r="261" ht="12.75" customHeight="1">
      <c r="F261" s="4"/>
      <c r="G261" s="4"/>
      <c r="H261" s="4"/>
      <c r="I261" s="4"/>
      <c r="J261" s="4"/>
      <c r="K261" s="4"/>
      <c r="L261" s="4"/>
      <c r="M261" s="4"/>
    </row>
    <row r="262" ht="12.75" customHeight="1">
      <c r="F262" s="4"/>
      <c r="G262" s="4"/>
      <c r="H262" s="4"/>
      <c r="I262" s="4"/>
      <c r="J262" s="4"/>
      <c r="K262" s="4"/>
      <c r="L262" s="4"/>
      <c r="M262" s="4"/>
    </row>
    <row r="263" ht="12.75" customHeight="1">
      <c r="F263" s="4"/>
      <c r="G263" s="4"/>
      <c r="H263" s="4"/>
      <c r="I263" s="4"/>
      <c r="J263" s="4"/>
      <c r="K263" s="4"/>
      <c r="L263" s="4"/>
      <c r="M263" s="4"/>
    </row>
    <row r="264" ht="12.75" customHeight="1">
      <c r="F264" s="4"/>
      <c r="G264" s="4"/>
      <c r="H264" s="4"/>
      <c r="I264" s="4"/>
      <c r="J264" s="4"/>
      <c r="K264" s="4"/>
      <c r="L264" s="4"/>
      <c r="M264" s="4"/>
    </row>
    <row r="265" ht="12.75" customHeight="1">
      <c r="F265" s="4"/>
      <c r="G265" s="4"/>
      <c r="H265" s="4"/>
      <c r="I265" s="4"/>
      <c r="J265" s="4"/>
      <c r="K265" s="4"/>
      <c r="L265" s="4"/>
      <c r="M265" s="4"/>
    </row>
    <row r="266" ht="12.75" customHeight="1">
      <c r="F266" s="4"/>
      <c r="G266" s="4"/>
      <c r="H266" s="4"/>
      <c r="I266" s="4"/>
      <c r="J266" s="4"/>
      <c r="K266" s="4"/>
      <c r="L266" s="4"/>
      <c r="M266" s="4"/>
    </row>
    <row r="267" ht="12.75" customHeight="1">
      <c r="F267" s="4"/>
      <c r="G267" s="4"/>
      <c r="H267" s="4"/>
      <c r="I267" s="4"/>
      <c r="J267" s="4"/>
      <c r="K267" s="4"/>
      <c r="L267" s="4"/>
      <c r="M267" s="4"/>
    </row>
    <row r="268" ht="12.75" customHeight="1">
      <c r="F268" s="4"/>
      <c r="G268" s="4"/>
      <c r="H268" s="4"/>
      <c r="I268" s="4"/>
      <c r="J268" s="4"/>
      <c r="K268" s="4"/>
      <c r="L268" s="4"/>
      <c r="M268" s="4"/>
    </row>
    <row r="269" ht="12.75" customHeight="1">
      <c r="F269" s="4"/>
      <c r="G269" s="4"/>
      <c r="H269" s="4"/>
      <c r="I269" s="4"/>
      <c r="J269" s="4"/>
      <c r="K269" s="4"/>
      <c r="L269" s="4"/>
      <c r="M269" s="4"/>
    </row>
    <row r="270" ht="12.75" customHeight="1">
      <c r="F270" s="4"/>
      <c r="G270" s="4"/>
      <c r="H270" s="4"/>
      <c r="I270" s="4"/>
      <c r="J270" s="4"/>
      <c r="K270" s="4"/>
      <c r="L270" s="4"/>
      <c r="M270" s="4"/>
    </row>
    <row r="271" ht="12.75" customHeight="1">
      <c r="F271" s="4"/>
      <c r="G271" s="4"/>
      <c r="H271" s="4"/>
      <c r="I271" s="4"/>
      <c r="J271" s="4"/>
      <c r="K271" s="4"/>
      <c r="L271" s="4"/>
      <c r="M271" s="4"/>
    </row>
    <row r="272" ht="12.75" customHeight="1">
      <c r="F272" s="4"/>
      <c r="G272" s="4"/>
      <c r="H272" s="4"/>
      <c r="I272" s="4"/>
      <c r="J272" s="4"/>
      <c r="K272" s="4"/>
      <c r="L272" s="4"/>
      <c r="M272" s="4"/>
    </row>
    <row r="273" ht="12.75" customHeight="1">
      <c r="F273" s="4"/>
      <c r="G273" s="4"/>
      <c r="H273" s="4"/>
      <c r="I273" s="4"/>
      <c r="J273" s="4"/>
      <c r="K273" s="4"/>
      <c r="L273" s="4"/>
      <c r="M273" s="4"/>
    </row>
    <row r="274" ht="12.75" customHeight="1">
      <c r="F274" s="4"/>
      <c r="G274" s="4"/>
      <c r="H274" s="4"/>
      <c r="I274" s="4"/>
      <c r="J274" s="4"/>
      <c r="K274" s="4"/>
      <c r="L274" s="4"/>
      <c r="M274" s="4"/>
    </row>
    <row r="275" ht="12.75" customHeight="1">
      <c r="F275" s="4"/>
      <c r="G275" s="4"/>
      <c r="H275" s="4"/>
      <c r="I275" s="4"/>
      <c r="J275" s="4"/>
      <c r="K275" s="4"/>
      <c r="L275" s="4"/>
      <c r="M275" s="4"/>
    </row>
    <row r="276" ht="12.75" customHeight="1">
      <c r="F276" s="4"/>
      <c r="G276" s="4"/>
      <c r="H276" s="4"/>
      <c r="I276" s="4"/>
      <c r="J276" s="4"/>
      <c r="K276" s="4"/>
      <c r="L276" s="4"/>
      <c r="M276" s="4"/>
    </row>
    <row r="277" ht="12.75" customHeight="1">
      <c r="F277" s="4"/>
      <c r="G277" s="4"/>
      <c r="H277" s="4"/>
      <c r="I277" s="4"/>
      <c r="J277" s="4"/>
      <c r="K277" s="4"/>
      <c r="L277" s="4"/>
      <c r="M277" s="4"/>
    </row>
    <row r="278" ht="12.75" customHeight="1">
      <c r="F278" s="4"/>
      <c r="G278" s="4"/>
      <c r="H278" s="4"/>
      <c r="I278" s="4"/>
      <c r="J278" s="4"/>
      <c r="K278" s="4"/>
      <c r="L278" s="4"/>
      <c r="M278" s="4"/>
    </row>
    <row r="279" ht="12.75" customHeight="1">
      <c r="F279" s="4"/>
      <c r="G279" s="4"/>
      <c r="H279" s="4"/>
      <c r="I279" s="4"/>
      <c r="J279" s="4"/>
      <c r="K279" s="4"/>
      <c r="L279" s="4"/>
      <c r="M279" s="4"/>
    </row>
    <row r="280" ht="12.75" customHeight="1">
      <c r="F280" s="4"/>
      <c r="G280" s="4"/>
      <c r="H280" s="4"/>
      <c r="I280" s="4"/>
      <c r="J280" s="4"/>
      <c r="K280" s="4"/>
      <c r="L280" s="4"/>
      <c r="M280" s="4"/>
    </row>
    <row r="281" ht="12.75" customHeight="1">
      <c r="F281" s="4"/>
      <c r="G281" s="4"/>
      <c r="H281" s="4"/>
      <c r="I281" s="4"/>
      <c r="J281" s="4"/>
      <c r="K281" s="4"/>
      <c r="L281" s="4"/>
      <c r="M281" s="4"/>
    </row>
    <row r="282" ht="12.75" customHeight="1">
      <c r="F282" s="4"/>
      <c r="G282" s="4"/>
      <c r="H282" s="4"/>
      <c r="I282" s="4"/>
      <c r="J282" s="4"/>
      <c r="K282" s="4"/>
      <c r="L282" s="4"/>
      <c r="M282" s="4"/>
    </row>
    <row r="283" ht="12.75" customHeight="1">
      <c r="F283" s="4"/>
      <c r="G283" s="4"/>
      <c r="H283" s="4"/>
      <c r="I283" s="4"/>
      <c r="J283" s="4"/>
      <c r="K283" s="4"/>
      <c r="L283" s="4"/>
      <c r="M283" s="4"/>
    </row>
    <row r="284" ht="12.75" customHeight="1">
      <c r="F284" s="4"/>
      <c r="G284" s="4"/>
      <c r="H284" s="4"/>
      <c r="I284" s="4"/>
      <c r="J284" s="4"/>
      <c r="K284" s="4"/>
      <c r="L284" s="4"/>
      <c r="M284" s="4"/>
    </row>
    <row r="285" ht="12.75" customHeight="1">
      <c r="F285" s="4"/>
      <c r="G285" s="4"/>
      <c r="H285" s="4"/>
      <c r="I285" s="4"/>
      <c r="J285" s="4"/>
      <c r="K285" s="4"/>
      <c r="L285" s="4"/>
      <c r="M285" s="4"/>
    </row>
    <row r="286" ht="12.75" customHeight="1">
      <c r="F286" s="4"/>
      <c r="G286" s="4"/>
      <c r="H286" s="4"/>
      <c r="I286" s="4"/>
      <c r="J286" s="4"/>
      <c r="K286" s="4"/>
      <c r="L286" s="4"/>
      <c r="M286" s="4"/>
    </row>
    <row r="287" ht="12.75" customHeight="1">
      <c r="F287" s="4"/>
      <c r="G287" s="4"/>
      <c r="H287" s="4"/>
      <c r="I287" s="4"/>
      <c r="J287" s="4"/>
      <c r="K287" s="4"/>
      <c r="L287" s="4"/>
      <c r="M287" s="4"/>
    </row>
    <row r="288" ht="12.75" customHeight="1">
      <c r="F288" s="4"/>
      <c r="G288" s="4"/>
      <c r="H288" s="4"/>
      <c r="I288" s="4"/>
      <c r="J288" s="4"/>
      <c r="K288" s="4"/>
      <c r="L288" s="4"/>
      <c r="M288" s="4"/>
    </row>
    <row r="289" ht="12.75" customHeight="1">
      <c r="F289" s="4"/>
      <c r="G289" s="4"/>
      <c r="H289" s="4"/>
      <c r="I289" s="4"/>
      <c r="J289" s="4"/>
      <c r="K289" s="4"/>
      <c r="L289" s="4"/>
      <c r="M289" s="4"/>
    </row>
    <row r="290" ht="12.75" customHeight="1">
      <c r="F290" s="4"/>
      <c r="G290" s="4"/>
      <c r="H290" s="4"/>
      <c r="I290" s="4"/>
      <c r="J290" s="4"/>
      <c r="K290" s="4"/>
      <c r="L290" s="4"/>
      <c r="M290" s="4"/>
    </row>
    <row r="291" ht="12.75" customHeight="1">
      <c r="F291" s="4"/>
      <c r="G291" s="4"/>
      <c r="H291" s="4"/>
      <c r="I291" s="4"/>
      <c r="J291" s="4"/>
      <c r="K291" s="4"/>
      <c r="L291" s="4"/>
      <c r="M291" s="4"/>
    </row>
    <row r="292" ht="12.75" customHeight="1">
      <c r="F292" s="4"/>
      <c r="G292" s="4"/>
      <c r="H292" s="4"/>
      <c r="I292" s="4"/>
      <c r="J292" s="4"/>
      <c r="K292" s="4"/>
      <c r="L292" s="4"/>
      <c r="M292" s="4"/>
    </row>
    <row r="293" ht="12.75" customHeight="1">
      <c r="F293" s="4"/>
      <c r="G293" s="4"/>
      <c r="H293" s="4"/>
      <c r="I293" s="4"/>
      <c r="J293" s="4"/>
      <c r="K293" s="4"/>
      <c r="L293" s="4"/>
      <c r="M293" s="4"/>
    </row>
    <row r="294" ht="12.75" customHeight="1">
      <c r="F294" s="4"/>
      <c r="G294" s="4"/>
      <c r="H294" s="4"/>
      <c r="I294" s="4"/>
      <c r="J294" s="4"/>
      <c r="K294" s="4"/>
      <c r="L294" s="4"/>
      <c r="M294" s="4"/>
    </row>
    <row r="295" ht="12.75" customHeight="1">
      <c r="F295" s="4"/>
      <c r="G295" s="4"/>
      <c r="H295" s="4"/>
      <c r="I295" s="4"/>
      <c r="J295" s="4"/>
      <c r="K295" s="4"/>
      <c r="L295" s="4"/>
      <c r="M295" s="4"/>
    </row>
    <row r="296" ht="12.75" customHeight="1">
      <c r="F296" s="4"/>
      <c r="G296" s="4"/>
      <c r="H296" s="4"/>
      <c r="I296" s="4"/>
      <c r="J296" s="4"/>
      <c r="K296" s="4"/>
      <c r="L296" s="4"/>
      <c r="M296" s="4"/>
    </row>
    <row r="297" ht="12.75" customHeight="1">
      <c r="F297" s="4"/>
      <c r="G297" s="4"/>
      <c r="H297" s="4"/>
      <c r="I297" s="4"/>
      <c r="J297" s="4"/>
      <c r="K297" s="4"/>
      <c r="L297" s="4"/>
      <c r="M297" s="4"/>
    </row>
    <row r="298" ht="12.75" customHeight="1">
      <c r="F298" s="4"/>
      <c r="G298" s="4"/>
      <c r="H298" s="4"/>
      <c r="I298" s="4"/>
      <c r="J298" s="4"/>
      <c r="K298" s="4"/>
      <c r="L298" s="4"/>
      <c r="M298" s="4"/>
    </row>
    <row r="299" ht="12.75" customHeight="1">
      <c r="F299" s="4"/>
      <c r="G299" s="4"/>
      <c r="H299" s="4"/>
      <c r="I299" s="4"/>
      <c r="J299" s="4"/>
      <c r="K299" s="4"/>
      <c r="L299" s="4"/>
      <c r="M299" s="4"/>
    </row>
    <row r="300" ht="12.75" customHeight="1">
      <c r="F300" s="4"/>
      <c r="G300" s="4"/>
      <c r="H300" s="4"/>
      <c r="I300" s="4"/>
      <c r="J300" s="4"/>
      <c r="K300" s="4"/>
      <c r="L300" s="4"/>
      <c r="M300" s="4"/>
    </row>
    <row r="301" ht="12.75" customHeight="1">
      <c r="F301" s="4"/>
      <c r="G301" s="4"/>
      <c r="H301" s="4"/>
      <c r="I301" s="4"/>
      <c r="J301" s="4"/>
      <c r="K301" s="4"/>
      <c r="L301" s="4"/>
      <c r="M301" s="4"/>
    </row>
    <row r="302" ht="12.75" customHeight="1">
      <c r="F302" s="4"/>
      <c r="G302" s="4"/>
      <c r="H302" s="4"/>
      <c r="I302" s="4"/>
      <c r="J302" s="4"/>
      <c r="K302" s="4"/>
      <c r="L302" s="4"/>
      <c r="M302" s="4"/>
    </row>
    <row r="303" ht="12.75" customHeight="1">
      <c r="F303" s="4"/>
      <c r="G303" s="4"/>
      <c r="H303" s="4"/>
      <c r="I303" s="4"/>
      <c r="J303" s="4"/>
      <c r="K303" s="4"/>
      <c r="L303" s="4"/>
      <c r="M303" s="4"/>
    </row>
    <row r="304" ht="12.75" customHeight="1">
      <c r="F304" s="4"/>
      <c r="G304" s="4"/>
      <c r="H304" s="4"/>
      <c r="I304" s="4"/>
      <c r="J304" s="4"/>
      <c r="K304" s="4"/>
      <c r="L304" s="4"/>
      <c r="M304" s="4"/>
    </row>
    <row r="305" ht="12.75" customHeight="1">
      <c r="F305" s="4"/>
      <c r="G305" s="4"/>
      <c r="H305" s="4"/>
      <c r="I305" s="4"/>
      <c r="J305" s="4"/>
      <c r="K305" s="4"/>
      <c r="L305" s="4"/>
      <c r="M305" s="4"/>
    </row>
    <row r="306" ht="12.75" customHeight="1">
      <c r="F306" s="4"/>
      <c r="G306" s="4"/>
      <c r="H306" s="4"/>
      <c r="I306" s="4"/>
      <c r="J306" s="4"/>
      <c r="K306" s="4"/>
      <c r="L306" s="4"/>
      <c r="M306" s="4"/>
    </row>
    <row r="307" ht="12.75" customHeight="1">
      <c r="F307" s="4"/>
      <c r="G307" s="4"/>
      <c r="H307" s="4"/>
      <c r="I307" s="4"/>
      <c r="J307" s="4"/>
      <c r="K307" s="4"/>
      <c r="L307" s="4"/>
      <c r="M307" s="4"/>
    </row>
    <row r="308" ht="12.75" customHeight="1">
      <c r="F308" s="4"/>
      <c r="G308" s="4"/>
      <c r="H308" s="4"/>
      <c r="I308" s="4"/>
      <c r="J308" s="4"/>
      <c r="K308" s="4"/>
      <c r="L308" s="4"/>
      <c r="M308" s="4"/>
    </row>
    <row r="309" ht="12.75" customHeight="1">
      <c r="F309" s="4"/>
      <c r="G309" s="4"/>
      <c r="H309" s="4"/>
      <c r="I309" s="4"/>
      <c r="J309" s="4"/>
      <c r="K309" s="4"/>
      <c r="L309" s="4"/>
      <c r="M309" s="4"/>
    </row>
    <row r="310" ht="12.75" customHeight="1">
      <c r="F310" s="4"/>
      <c r="G310" s="4"/>
      <c r="H310" s="4"/>
      <c r="I310" s="4"/>
      <c r="J310" s="4"/>
      <c r="K310" s="4"/>
      <c r="L310" s="4"/>
      <c r="M310" s="4"/>
    </row>
    <row r="311" ht="12.75" customHeight="1">
      <c r="F311" s="4"/>
      <c r="G311" s="4"/>
      <c r="H311" s="4"/>
      <c r="I311" s="4"/>
      <c r="J311" s="4"/>
      <c r="K311" s="4"/>
      <c r="L311" s="4"/>
      <c r="M311" s="4"/>
    </row>
    <row r="312" ht="12.75" customHeight="1">
      <c r="F312" s="4"/>
      <c r="G312" s="4"/>
      <c r="H312" s="4"/>
      <c r="I312" s="4"/>
      <c r="J312" s="4"/>
      <c r="K312" s="4"/>
      <c r="L312" s="4"/>
      <c r="M312" s="4"/>
    </row>
    <row r="313" ht="12.75" customHeight="1">
      <c r="F313" s="4"/>
      <c r="G313" s="4"/>
      <c r="H313" s="4"/>
      <c r="I313" s="4"/>
      <c r="J313" s="4"/>
      <c r="K313" s="4"/>
      <c r="L313" s="4"/>
      <c r="M313" s="4"/>
    </row>
    <row r="314" ht="12.75" customHeight="1">
      <c r="F314" s="4"/>
      <c r="G314" s="4"/>
      <c r="H314" s="4"/>
      <c r="I314" s="4"/>
      <c r="J314" s="4"/>
      <c r="K314" s="4"/>
      <c r="L314" s="4"/>
      <c r="M314" s="4"/>
    </row>
    <row r="315" ht="12.75" customHeight="1">
      <c r="F315" s="4"/>
      <c r="G315" s="4"/>
      <c r="H315" s="4"/>
      <c r="I315" s="4"/>
      <c r="J315" s="4"/>
      <c r="K315" s="4"/>
      <c r="L315" s="4"/>
      <c r="M315" s="4"/>
    </row>
    <row r="316" ht="12.75" customHeight="1">
      <c r="F316" s="4"/>
      <c r="G316" s="4"/>
      <c r="H316" s="4"/>
      <c r="I316" s="4"/>
      <c r="J316" s="4"/>
      <c r="K316" s="4"/>
      <c r="L316" s="4"/>
      <c r="M316" s="4"/>
    </row>
    <row r="317" ht="12.75" customHeight="1">
      <c r="F317" s="4"/>
      <c r="G317" s="4"/>
      <c r="H317" s="4"/>
      <c r="I317" s="4"/>
      <c r="J317" s="4"/>
      <c r="K317" s="4"/>
      <c r="L317" s="4"/>
      <c r="M317" s="4"/>
    </row>
    <row r="318" ht="12.75" customHeight="1">
      <c r="F318" s="4"/>
      <c r="G318" s="4"/>
      <c r="H318" s="4"/>
      <c r="I318" s="4"/>
      <c r="J318" s="4"/>
      <c r="K318" s="4"/>
      <c r="L318" s="4"/>
      <c r="M318" s="4"/>
    </row>
    <row r="319" ht="12.75" customHeight="1">
      <c r="F319" s="4"/>
      <c r="G319" s="4"/>
      <c r="H319" s="4"/>
      <c r="I319" s="4"/>
      <c r="J319" s="4"/>
      <c r="K319" s="4"/>
      <c r="L319" s="4"/>
      <c r="M319" s="4"/>
    </row>
    <row r="320" ht="12.75" customHeight="1">
      <c r="F320" s="4"/>
      <c r="G320" s="4"/>
      <c r="H320" s="4"/>
      <c r="I320" s="4"/>
      <c r="J320" s="4"/>
      <c r="K320" s="4"/>
      <c r="L320" s="4"/>
      <c r="M320" s="4"/>
    </row>
    <row r="321" ht="12.75" customHeight="1">
      <c r="F321" s="4"/>
      <c r="G321" s="4"/>
      <c r="H321" s="4"/>
      <c r="I321" s="4"/>
      <c r="J321" s="4"/>
      <c r="K321" s="4"/>
      <c r="L321" s="4"/>
      <c r="M321" s="4"/>
    </row>
    <row r="322" ht="12.75" customHeight="1">
      <c r="F322" s="4"/>
      <c r="G322" s="4"/>
      <c r="H322" s="4"/>
      <c r="I322" s="4"/>
      <c r="J322" s="4"/>
      <c r="K322" s="4"/>
      <c r="L322" s="4"/>
      <c r="M322" s="4"/>
    </row>
    <row r="323" ht="12.75" customHeight="1">
      <c r="F323" s="4"/>
      <c r="G323" s="4"/>
      <c r="H323" s="4"/>
      <c r="I323" s="4"/>
      <c r="J323" s="4"/>
      <c r="K323" s="4"/>
      <c r="L323" s="4"/>
      <c r="M323" s="4"/>
    </row>
    <row r="324" ht="12.75" customHeight="1">
      <c r="F324" s="4"/>
      <c r="G324" s="4"/>
      <c r="H324" s="4"/>
      <c r="I324" s="4"/>
      <c r="J324" s="4"/>
      <c r="K324" s="4"/>
      <c r="L324" s="4"/>
      <c r="M324" s="4"/>
    </row>
    <row r="325" ht="12.75" customHeight="1">
      <c r="F325" s="4"/>
      <c r="G325" s="4"/>
      <c r="H325" s="4"/>
      <c r="I325" s="4"/>
      <c r="J325" s="4"/>
      <c r="K325" s="4"/>
      <c r="L325" s="4"/>
      <c r="M325" s="4"/>
    </row>
    <row r="326" ht="12.75" customHeight="1">
      <c r="F326" s="4"/>
      <c r="G326" s="4"/>
      <c r="H326" s="4"/>
      <c r="I326" s="4"/>
      <c r="J326" s="4"/>
      <c r="K326" s="4"/>
      <c r="L326" s="4"/>
      <c r="M326" s="4"/>
    </row>
    <row r="327" ht="12.75" customHeight="1">
      <c r="F327" s="4"/>
      <c r="G327" s="4"/>
      <c r="H327" s="4"/>
      <c r="I327" s="4"/>
      <c r="J327" s="4"/>
      <c r="K327" s="4"/>
      <c r="L327" s="4"/>
      <c r="M327" s="4"/>
    </row>
    <row r="328" ht="12.75" customHeight="1">
      <c r="F328" s="4"/>
      <c r="G328" s="4"/>
      <c r="H328" s="4"/>
      <c r="I328" s="4"/>
      <c r="J328" s="4"/>
      <c r="K328" s="4"/>
      <c r="L328" s="4"/>
      <c r="M328" s="4"/>
    </row>
    <row r="329" ht="12.75" customHeight="1">
      <c r="F329" s="4"/>
      <c r="G329" s="4"/>
      <c r="H329" s="4"/>
      <c r="I329" s="4"/>
      <c r="J329" s="4"/>
      <c r="K329" s="4"/>
      <c r="L329" s="4"/>
      <c r="M329" s="4"/>
    </row>
    <row r="330" ht="12.75" customHeight="1">
      <c r="F330" s="4"/>
      <c r="G330" s="4"/>
      <c r="H330" s="4"/>
      <c r="I330" s="4"/>
      <c r="J330" s="4"/>
      <c r="K330" s="4"/>
      <c r="L330" s="4"/>
      <c r="M330" s="4"/>
    </row>
    <row r="331" ht="12.75" customHeight="1">
      <c r="F331" s="4"/>
      <c r="G331" s="4"/>
      <c r="H331" s="4"/>
      <c r="I331" s="4"/>
      <c r="J331" s="4"/>
      <c r="K331" s="4"/>
      <c r="L331" s="4"/>
      <c r="M331" s="4"/>
    </row>
    <row r="332" ht="12.75" customHeight="1">
      <c r="F332" s="4"/>
      <c r="G332" s="4"/>
      <c r="H332" s="4"/>
      <c r="I332" s="4"/>
      <c r="J332" s="4"/>
      <c r="K332" s="4"/>
      <c r="L332" s="4"/>
      <c r="M332" s="4"/>
    </row>
    <row r="333" ht="12.75" customHeight="1">
      <c r="F333" s="4"/>
      <c r="G333" s="4"/>
      <c r="H333" s="4"/>
      <c r="I333" s="4"/>
      <c r="J333" s="4"/>
      <c r="K333" s="4"/>
      <c r="L333" s="4"/>
      <c r="M333" s="4"/>
    </row>
    <row r="334" ht="12.75" customHeight="1">
      <c r="F334" s="4"/>
      <c r="G334" s="4"/>
      <c r="H334" s="4"/>
      <c r="I334" s="4"/>
      <c r="J334" s="4"/>
      <c r="K334" s="4"/>
      <c r="L334" s="4"/>
      <c r="M334" s="4"/>
    </row>
    <row r="335" ht="12.75" customHeight="1">
      <c r="F335" s="4"/>
      <c r="G335" s="4"/>
      <c r="H335" s="4"/>
      <c r="I335" s="4"/>
      <c r="J335" s="4"/>
      <c r="K335" s="4"/>
      <c r="L335" s="4"/>
      <c r="M335" s="4"/>
    </row>
    <row r="336" ht="12.75" customHeight="1">
      <c r="F336" s="4"/>
      <c r="G336" s="4"/>
      <c r="H336" s="4"/>
      <c r="I336" s="4"/>
      <c r="J336" s="4"/>
      <c r="K336" s="4"/>
      <c r="L336" s="4"/>
      <c r="M336" s="4"/>
    </row>
    <row r="337" ht="12.75" customHeight="1">
      <c r="F337" s="4"/>
      <c r="G337" s="4"/>
      <c r="H337" s="4"/>
      <c r="I337" s="4"/>
      <c r="J337" s="4"/>
      <c r="K337" s="4"/>
      <c r="L337" s="4"/>
      <c r="M337" s="4"/>
    </row>
    <row r="338" ht="12.75" customHeight="1">
      <c r="F338" s="4"/>
      <c r="G338" s="4"/>
      <c r="H338" s="4"/>
      <c r="I338" s="4"/>
      <c r="J338" s="4"/>
      <c r="K338" s="4"/>
      <c r="L338" s="4"/>
      <c r="M338" s="4"/>
    </row>
    <row r="339" ht="12.75" customHeight="1">
      <c r="F339" s="4"/>
      <c r="G339" s="4"/>
      <c r="H339" s="4"/>
      <c r="I339" s="4"/>
      <c r="J339" s="4"/>
      <c r="K339" s="4"/>
      <c r="L339" s="4"/>
      <c r="M339" s="4"/>
    </row>
    <row r="340" ht="12.75" customHeight="1">
      <c r="F340" s="4"/>
      <c r="G340" s="4"/>
      <c r="H340" s="4"/>
      <c r="I340" s="4"/>
      <c r="J340" s="4"/>
      <c r="K340" s="4"/>
      <c r="L340" s="4"/>
      <c r="M340" s="4"/>
    </row>
    <row r="341" ht="12.75" customHeight="1">
      <c r="F341" s="4"/>
      <c r="G341" s="4"/>
      <c r="H341" s="4"/>
      <c r="I341" s="4"/>
      <c r="J341" s="4"/>
      <c r="K341" s="4"/>
      <c r="L341" s="4"/>
      <c r="M341" s="4"/>
    </row>
    <row r="342" ht="12.75" customHeight="1">
      <c r="F342" s="4"/>
      <c r="G342" s="4"/>
      <c r="H342" s="4"/>
      <c r="I342" s="4"/>
      <c r="J342" s="4"/>
      <c r="K342" s="4"/>
      <c r="L342" s="4"/>
      <c r="M342" s="4"/>
    </row>
    <row r="343" ht="12.75" customHeight="1">
      <c r="F343" s="4"/>
      <c r="G343" s="4"/>
      <c r="H343" s="4"/>
      <c r="I343" s="4"/>
      <c r="J343" s="4"/>
      <c r="K343" s="4"/>
      <c r="L343" s="4"/>
      <c r="M343" s="4"/>
    </row>
    <row r="344" ht="12.75" customHeight="1">
      <c r="F344" s="4"/>
      <c r="G344" s="4"/>
      <c r="H344" s="4"/>
      <c r="I344" s="4"/>
      <c r="J344" s="4"/>
      <c r="K344" s="4"/>
      <c r="L344" s="4"/>
      <c r="M344" s="4"/>
    </row>
    <row r="345" ht="12.75" customHeight="1">
      <c r="F345" s="4"/>
      <c r="G345" s="4"/>
      <c r="H345" s="4"/>
      <c r="I345" s="4"/>
      <c r="J345" s="4"/>
      <c r="K345" s="4"/>
      <c r="L345" s="4"/>
      <c r="M345" s="4"/>
    </row>
    <row r="346" ht="12.75" customHeight="1">
      <c r="F346" s="4"/>
      <c r="G346" s="4"/>
      <c r="H346" s="4"/>
      <c r="I346" s="4"/>
      <c r="J346" s="4"/>
      <c r="K346" s="4"/>
      <c r="L346" s="4"/>
      <c r="M346" s="4"/>
    </row>
    <row r="347" ht="12.75" customHeight="1">
      <c r="F347" s="4"/>
      <c r="G347" s="4"/>
      <c r="H347" s="4"/>
      <c r="I347" s="4"/>
      <c r="J347" s="4"/>
      <c r="K347" s="4"/>
      <c r="L347" s="4"/>
      <c r="M347" s="4"/>
    </row>
    <row r="348" ht="12.75" customHeight="1">
      <c r="F348" s="4"/>
      <c r="G348" s="4"/>
      <c r="H348" s="4"/>
      <c r="I348" s="4"/>
      <c r="J348" s="4"/>
      <c r="K348" s="4"/>
      <c r="L348" s="4"/>
      <c r="M348" s="4"/>
    </row>
    <row r="349" ht="12.75" customHeight="1">
      <c r="F349" s="4"/>
      <c r="G349" s="4"/>
      <c r="H349" s="4"/>
      <c r="I349" s="4"/>
      <c r="J349" s="4"/>
      <c r="K349" s="4"/>
      <c r="L349" s="4"/>
      <c r="M349" s="4"/>
    </row>
    <row r="350" ht="12.75" customHeight="1">
      <c r="F350" s="4"/>
      <c r="G350" s="4"/>
      <c r="H350" s="4"/>
      <c r="I350" s="4"/>
      <c r="J350" s="4"/>
      <c r="K350" s="4"/>
      <c r="L350" s="4"/>
      <c r="M350" s="4"/>
    </row>
    <row r="351" ht="12.75" customHeight="1">
      <c r="F351" s="4"/>
      <c r="G351" s="4"/>
      <c r="H351" s="4"/>
      <c r="I351" s="4"/>
      <c r="J351" s="4"/>
      <c r="K351" s="4"/>
      <c r="L351" s="4"/>
      <c r="M351" s="4"/>
    </row>
    <row r="352" ht="12.75" customHeight="1">
      <c r="F352" s="4"/>
      <c r="G352" s="4"/>
      <c r="H352" s="4"/>
      <c r="I352" s="4"/>
      <c r="J352" s="4"/>
      <c r="K352" s="4"/>
      <c r="L352" s="4"/>
      <c r="M352" s="4"/>
    </row>
    <row r="353" ht="12.75" customHeight="1">
      <c r="F353" s="4"/>
      <c r="G353" s="4"/>
      <c r="H353" s="4"/>
      <c r="I353" s="4"/>
      <c r="J353" s="4"/>
      <c r="K353" s="4"/>
      <c r="L353" s="4"/>
      <c r="M353" s="4"/>
    </row>
    <row r="354" ht="12.75" customHeight="1">
      <c r="F354" s="4"/>
      <c r="G354" s="4"/>
      <c r="H354" s="4"/>
      <c r="I354" s="4"/>
      <c r="J354" s="4"/>
      <c r="K354" s="4"/>
      <c r="L354" s="4"/>
      <c r="M354" s="4"/>
    </row>
    <row r="355" ht="12.75" customHeight="1">
      <c r="F355" s="4"/>
      <c r="G355" s="4"/>
      <c r="H355" s="4"/>
      <c r="I355" s="4"/>
      <c r="J355" s="4"/>
      <c r="K355" s="4"/>
      <c r="L355" s="4"/>
      <c r="M355" s="4"/>
    </row>
    <row r="356" ht="12.75" customHeight="1">
      <c r="F356" s="4"/>
      <c r="G356" s="4"/>
      <c r="H356" s="4"/>
      <c r="I356" s="4"/>
      <c r="J356" s="4"/>
      <c r="K356" s="4"/>
      <c r="L356" s="4"/>
      <c r="M356" s="4"/>
    </row>
    <row r="357" ht="12.75" customHeight="1">
      <c r="F357" s="4"/>
      <c r="G357" s="4"/>
      <c r="H357" s="4"/>
      <c r="I357" s="4"/>
      <c r="J357" s="4"/>
      <c r="K357" s="4"/>
      <c r="L357" s="4"/>
      <c r="M357" s="4"/>
    </row>
    <row r="358" ht="12.75" customHeight="1">
      <c r="F358" s="4"/>
      <c r="G358" s="4"/>
      <c r="H358" s="4"/>
      <c r="I358" s="4"/>
      <c r="J358" s="4"/>
      <c r="K358" s="4"/>
      <c r="L358" s="4"/>
      <c r="M358" s="4"/>
    </row>
    <row r="359" ht="12.75" customHeight="1">
      <c r="F359" s="4"/>
      <c r="G359" s="4"/>
      <c r="H359" s="4"/>
      <c r="I359" s="4"/>
      <c r="J359" s="4"/>
      <c r="K359" s="4"/>
      <c r="L359" s="4"/>
      <c r="M359" s="4"/>
    </row>
    <row r="360" ht="12.75" customHeight="1">
      <c r="F360" s="4"/>
      <c r="G360" s="4"/>
      <c r="H360" s="4"/>
      <c r="I360" s="4"/>
      <c r="J360" s="4"/>
      <c r="K360" s="4"/>
      <c r="L360" s="4"/>
      <c r="M360" s="4"/>
    </row>
    <row r="361" ht="12.75" customHeight="1">
      <c r="F361" s="4"/>
      <c r="G361" s="4"/>
      <c r="H361" s="4"/>
      <c r="I361" s="4"/>
      <c r="J361" s="4"/>
      <c r="K361" s="4"/>
      <c r="L361" s="4"/>
      <c r="M361" s="4"/>
    </row>
    <row r="362" ht="12.75" customHeight="1">
      <c r="F362" s="4"/>
      <c r="G362" s="4"/>
      <c r="H362" s="4"/>
      <c r="I362" s="4"/>
      <c r="J362" s="4"/>
      <c r="K362" s="4"/>
      <c r="L362" s="4"/>
      <c r="M362" s="4"/>
    </row>
    <row r="363" ht="12.75" customHeight="1">
      <c r="F363" s="4"/>
      <c r="G363" s="4"/>
      <c r="H363" s="4"/>
      <c r="I363" s="4"/>
      <c r="J363" s="4"/>
      <c r="K363" s="4"/>
      <c r="L363" s="4"/>
      <c r="M363" s="4"/>
    </row>
    <row r="364" ht="12.75" customHeight="1">
      <c r="F364" s="4"/>
      <c r="G364" s="4"/>
      <c r="H364" s="4"/>
      <c r="I364" s="4"/>
      <c r="J364" s="4"/>
      <c r="K364" s="4"/>
      <c r="L364" s="4"/>
      <c r="M364" s="4"/>
    </row>
    <row r="365" ht="12.75" customHeight="1">
      <c r="F365" s="4"/>
      <c r="G365" s="4"/>
      <c r="H365" s="4"/>
      <c r="I365" s="4"/>
      <c r="J365" s="4"/>
      <c r="K365" s="4"/>
      <c r="L365" s="4"/>
      <c r="M365" s="4"/>
    </row>
    <row r="366" ht="12.75" customHeight="1">
      <c r="F366" s="4"/>
      <c r="G366" s="4"/>
      <c r="H366" s="4"/>
      <c r="I366" s="4"/>
      <c r="J366" s="4"/>
      <c r="K366" s="4"/>
      <c r="L366" s="4"/>
      <c r="M366" s="4"/>
    </row>
    <row r="367" ht="12.75" customHeight="1">
      <c r="F367" s="4"/>
      <c r="G367" s="4"/>
      <c r="H367" s="4"/>
      <c r="I367" s="4"/>
      <c r="J367" s="4"/>
      <c r="K367" s="4"/>
      <c r="L367" s="4"/>
      <c r="M367" s="4"/>
    </row>
    <row r="368" ht="12.75" customHeight="1">
      <c r="F368" s="4"/>
      <c r="G368" s="4"/>
      <c r="H368" s="4"/>
      <c r="I368" s="4"/>
      <c r="J368" s="4"/>
      <c r="K368" s="4"/>
      <c r="L368" s="4"/>
      <c r="M368" s="4"/>
    </row>
    <row r="369" ht="12.75" customHeight="1">
      <c r="F369" s="4"/>
      <c r="G369" s="4"/>
      <c r="H369" s="4"/>
      <c r="I369" s="4"/>
      <c r="J369" s="4"/>
      <c r="K369" s="4"/>
      <c r="L369" s="4"/>
      <c r="M369" s="4"/>
    </row>
    <row r="370" ht="12.75" customHeight="1">
      <c r="F370" s="4"/>
      <c r="G370" s="4"/>
      <c r="H370" s="4"/>
      <c r="I370" s="4"/>
      <c r="J370" s="4"/>
      <c r="K370" s="4"/>
      <c r="L370" s="4"/>
      <c r="M370" s="4"/>
    </row>
    <row r="371" ht="12.75" customHeight="1">
      <c r="F371" s="4"/>
      <c r="G371" s="4"/>
      <c r="H371" s="4"/>
      <c r="I371" s="4"/>
      <c r="J371" s="4"/>
      <c r="K371" s="4"/>
      <c r="L371" s="4"/>
      <c r="M371" s="4"/>
    </row>
    <row r="372" ht="12.75" customHeight="1">
      <c r="F372" s="4"/>
      <c r="G372" s="4"/>
      <c r="H372" s="4"/>
      <c r="I372" s="4"/>
      <c r="J372" s="4"/>
      <c r="K372" s="4"/>
      <c r="L372" s="4"/>
      <c r="M372" s="4"/>
    </row>
    <row r="373" ht="12.75" customHeight="1">
      <c r="F373" s="4"/>
      <c r="G373" s="4"/>
      <c r="H373" s="4"/>
      <c r="I373" s="4"/>
      <c r="J373" s="4"/>
      <c r="K373" s="4"/>
      <c r="L373" s="4"/>
      <c r="M373" s="4"/>
    </row>
    <row r="374" ht="12.75" customHeight="1">
      <c r="F374" s="4"/>
      <c r="G374" s="4"/>
      <c r="H374" s="4"/>
      <c r="I374" s="4"/>
      <c r="J374" s="4"/>
      <c r="K374" s="4"/>
      <c r="L374" s="4"/>
      <c r="M374" s="4"/>
    </row>
    <row r="375" ht="12.75" customHeight="1">
      <c r="F375" s="4"/>
      <c r="G375" s="4"/>
      <c r="H375" s="4"/>
      <c r="I375" s="4"/>
      <c r="J375" s="4"/>
      <c r="K375" s="4"/>
      <c r="L375" s="4"/>
      <c r="M375" s="4"/>
    </row>
    <row r="376" ht="12.75" customHeight="1">
      <c r="F376" s="4"/>
      <c r="G376" s="4"/>
      <c r="H376" s="4"/>
      <c r="I376" s="4"/>
      <c r="J376" s="4"/>
      <c r="K376" s="4"/>
      <c r="L376" s="4"/>
      <c r="M376" s="4"/>
    </row>
    <row r="377" ht="12.75" customHeight="1">
      <c r="F377" s="4"/>
      <c r="G377" s="4"/>
      <c r="H377" s="4"/>
      <c r="I377" s="4"/>
      <c r="J377" s="4"/>
      <c r="K377" s="4"/>
      <c r="L377" s="4"/>
      <c r="M377" s="4"/>
    </row>
    <row r="378" ht="12.75" customHeight="1">
      <c r="F378" s="4"/>
      <c r="G378" s="4"/>
      <c r="H378" s="4"/>
      <c r="I378" s="4"/>
      <c r="J378" s="4"/>
      <c r="K378" s="4"/>
      <c r="L378" s="4"/>
      <c r="M378" s="4"/>
    </row>
    <row r="379" ht="12.75" customHeight="1">
      <c r="F379" s="4"/>
      <c r="G379" s="4"/>
      <c r="H379" s="4"/>
      <c r="I379" s="4"/>
      <c r="J379" s="4"/>
      <c r="K379" s="4"/>
      <c r="L379" s="4"/>
      <c r="M379" s="4"/>
    </row>
    <row r="380" ht="12.75" customHeight="1">
      <c r="F380" s="4"/>
      <c r="G380" s="4"/>
      <c r="H380" s="4"/>
      <c r="I380" s="4"/>
      <c r="J380" s="4"/>
      <c r="K380" s="4"/>
      <c r="L380" s="4"/>
      <c r="M380" s="4"/>
    </row>
    <row r="381" ht="12.75" customHeight="1">
      <c r="F381" s="4"/>
      <c r="G381" s="4"/>
      <c r="H381" s="4"/>
      <c r="I381" s="4"/>
      <c r="J381" s="4"/>
      <c r="K381" s="4"/>
      <c r="L381" s="4"/>
      <c r="M381" s="4"/>
    </row>
    <row r="382" ht="12.75" customHeight="1">
      <c r="F382" s="4"/>
      <c r="G382" s="4"/>
      <c r="H382" s="4"/>
      <c r="I382" s="4"/>
      <c r="J382" s="4"/>
      <c r="K382" s="4"/>
      <c r="L382" s="4"/>
      <c r="M382" s="4"/>
    </row>
    <row r="383" ht="12.75" customHeight="1">
      <c r="F383" s="4"/>
      <c r="G383" s="4"/>
      <c r="H383" s="4"/>
      <c r="I383" s="4"/>
      <c r="J383" s="4"/>
      <c r="K383" s="4"/>
      <c r="L383" s="4"/>
      <c r="M383" s="4"/>
    </row>
    <row r="384" ht="12.75" customHeight="1">
      <c r="F384" s="4"/>
      <c r="G384" s="4"/>
      <c r="H384" s="4"/>
      <c r="I384" s="4"/>
      <c r="J384" s="4"/>
      <c r="K384" s="4"/>
      <c r="L384" s="4"/>
      <c r="M384" s="4"/>
    </row>
    <row r="385" ht="12.75" customHeight="1">
      <c r="F385" s="4"/>
      <c r="G385" s="4"/>
      <c r="H385" s="4"/>
      <c r="I385" s="4"/>
      <c r="J385" s="4"/>
      <c r="K385" s="4"/>
      <c r="L385" s="4"/>
      <c r="M385" s="4"/>
    </row>
    <row r="386" ht="12.75" customHeight="1">
      <c r="F386" s="4"/>
      <c r="G386" s="4"/>
      <c r="H386" s="4"/>
      <c r="I386" s="4"/>
      <c r="J386" s="4"/>
      <c r="K386" s="4"/>
      <c r="L386" s="4"/>
      <c r="M386" s="4"/>
    </row>
    <row r="387" ht="12.75" customHeight="1">
      <c r="F387" s="4"/>
      <c r="G387" s="4"/>
      <c r="H387" s="4"/>
      <c r="I387" s="4"/>
      <c r="J387" s="4"/>
      <c r="K387" s="4"/>
      <c r="L387" s="4"/>
      <c r="M387" s="4"/>
    </row>
    <row r="388" ht="12.75" customHeight="1">
      <c r="F388" s="4"/>
      <c r="G388" s="4"/>
      <c r="H388" s="4"/>
      <c r="I388" s="4"/>
      <c r="J388" s="4"/>
      <c r="K388" s="4"/>
      <c r="L388" s="4"/>
      <c r="M388" s="4"/>
    </row>
    <row r="389" ht="12.75" customHeight="1">
      <c r="F389" s="4"/>
      <c r="G389" s="4"/>
      <c r="H389" s="4"/>
      <c r="I389" s="4"/>
      <c r="J389" s="4"/>
      <c r="K389" s="4"/>
      <c r="L389" s="4"/>
      <c r="M389" s="4"/>
    </row>
    <row r="390" ht="12.75" customHeight="1">
      <c r="F390" s="4"/>
      <c r="G390" s="4"/>
      <c r="H390" s="4"/>
      <c r="I390" s="4"/>
      <c r="J390" s="4"/>
      <c r="K390" s="4"/>
      <c r="L390" s="4"/>
      <c r="M390" s="4"/>
    </row>
    <row r="391" ht="12.75" customHeight="1">
      <c r="F391" s="4"/>
      <c r="G391" s="4"/>
      <c r="H391" s="4"/>
      <c r="I391" s="4"/>
      <c r="J391" s="4"/>
      <c r="K391" s="4"/>
      <c r="L391" s="4"/>
      <c r="M391" s="4"/>
    </row>
    <row r="392" ht="12.75" customHeight="1">
      <c r="F392" s="4"/>
      <c r="G392" s="4"/>
      <c r="H392" s="4"/>
      <c r="I392" s="4"/>
      <c r="J392" s="4"/>
      <c r="K392" s="4"/>
      <c r="L392" s="4"/>
      <c r="M392" s="4"/>
    </row>
    <row r="393" ht="12.75" customHeight="1">
      <c r="F393" s="4"/>
      <c r="G393" s="4"/>
      <c r="H393" s="4"/>
      <c r="I393" s="4"/>
      <c r="J393" s="4"/>
      <c r="K393" s="4"/>
      <c r="L393" s="4"/>
      <c r="M393" s="4"/>
    </row>
    <row r="394" ht="12.75" customHeight="1">
      <c r="F394" s="4"/>
      <c r="G394" s="4"/>
      <c r="H394" s="4"/>
      <c r="I394" s="4"/>
      <c r="J394" s="4"/>
      <c r="K394" s="4"/>
      <c r="L394" s="4"/>
      <c r="M394" s="4"/>
    </row>
    <row r="395" ht="12.75" customHeight="1">
      <c r="F395" s="4"/>
      <c r="G395" s="4"/>
      <c r="H395" s="4"/>
      <c r="I395" s="4"/>
      <c r="J395" s="4"/>
      <c r="K395" s="4"/>
      <c r="L395" s="4"/>
      <c r="M395" s="4"/>
    </row>
    <row r="396" ht="12.75" customHeight="1">
      <c r="F396" s="4"/>
      <c r="G396" s="4"/>
      <c r="H396" s="4"/>
      <c r="I396" s="4"/>
      <c r="J396" s="4"/>
      <c r="K396" s="4"/>
      <c r="L396" s="4"/>
      <c r="M396" s="4"/>
    </row>
    <row r="397" ht="12.75" customHeight="1">
      <c r="F397" s="4"/>
      <c r="G397" s="4"/>
      <c r="H397" s="4"/>
      <c r="I397" s="4"/>
      <c r="J397" s="4"/>
      <c r="K397" s="4"/>
      <c r="L397" s="4"/>
      <c r="M397" s="4"/>
    </row>
    <row r="398" ht="12.75" customHeight="1">
      <c r="F398" s="4"/>
      <c r="G398" s="4"/>
      <c r="H398" s="4"/>
      <c r="I398" s="4"/>
      <c r="J398" s="4"/>
      <c r="K398" s="4"/>
      <c r="L398" s="4"/>
      <c r="M398" s="4"/>
    </row>
    <row r="399" ht="12.75" customHeight="1">
      <c r="F399" s="4"/>
      <c r="G399" s="4"/>
      <c r="H399" s="4"/>
      <c r="I399" s="4"/>
      <c r="J399" s="4"/>
      <c r="K399" s="4"/>
      <c r="L399" s="4"/>
      <c r="M399" s="4"/>
    </row>
    <row r="400" ht="12.75" customHeight="1">
      <c r="F400" s="4"/>
      <c r="G400" s="4"/>
      <c r="H400" s="4"/>
      <c r="I400" s="4"/>
      <c r="J400" s="4"/>
      <c r="K400" s="4"/>
      <c r="L400" s="4"/>
      <c r="M400" s="4"/>
    </row>
    <row r="401" ht="12.75" customHeight="1">
      <c r="F401" s="4"/>
      <c r="G401" s="4"/>
      <c r="H401" s="4"/>
      <c r="I401" s="4"/>
      <c r="J401" s="4"/>
      <c r="K401" s="4"/>
      <c r="L401" s="4"/>
      <c r="M401" s="4"/>
    </row>
    <row r="402" ht="12.75" customHeight="1">
      <c r="F402" s="4"/>
      <c r="G402" s="4"/>
      <c r="H402" s="4"/>
      <c r="I402" s="4"/>
      <c r="J402" s="4"/>
      <c r="K402" s="4"/>
      <c r="L402" s="4"/>
      <c r="M402" s="4"/>
    </row>
    <row r="403" ht="12.75" customHeight="1">
      <c r="F403" s="4"/>
      <c r="G403" s="4"/>
      <c r="H403" s="4"/>
      <c r="I403" s="4"/>
      <c r="J403" s="4"/>
      <c r="K403" s="4"/>
      <c r="L403" s="4"/>
      <c r="M403" s="4"/>
    </row>
    <row r="404" ht="12.75" customHeight="1">
      <c r="F404" s="4"/>
      <c r="G404" s="4"/>
      <c r="H404" s="4"/>
      <c r="I404" s="4"/>
      <c r="J404" s="4"/>
      <c r="K404" s="4"/>
      <c r="L404" s="4"/>
      <c r="M404" s="4"/>
    </row>
    <row r="405" ht="12.75" customHeight="1">
      <c r="F405" s="4"/>
      <c r="G405" s="4"/>
      <c r="H405" s="4"/>
      <c r="I405" s="4"/>
      <c r="J405" s="4"/>
      <c r="K405" s="4"/>
      <c r="L405" s="4"/>
      <c r="M405" s="4"/>
    </row>
    <row r="406" ht="12.75" customHeight="1">
      <c r="F406" s="4"/>
      <c r="G406" s="4"/>
      <c r="H406" s="4"/>
      <c r="I406" s="4"/>
      <c r="J406" s="4"/>
      <c r="K406" s="4"/>
      <c r="L406" s="4"/>
      <c r="M406" s="4"/>
    </row>
    <row r="407" ht="12.75" customHeight="1">
      <c r="F407" s="4"/>
      <c r="G407" s="4"/>
      <c r="H407" s="4"/>
      <c r="I407" s="4"/>
      <c r="J407" s="4"/>
      <c r="K407" s="4"/>
      <c r="L407" s="4"/>
      <c r="M407" s="4"/>
    </row>
    <row r="408" ht="12.75" customHeight="1">
      <c r="F408" s="4"/>
      <c r="G408" s="4"/>
      <c r="H408" s="4"/>
      <c r="I408" s="4"/>
      <c r="J408" s="4"/>
      <c r="K408" s="4"/>
      <c r="L408" s="4"/>
      <c r="M408" s="4"/>
    </row>
    <row r="409" ht="12.75" customHeight="1">
      <c r="F409" s="4"/>
      <c r="G409" s="4"/>
      <c r="H409" s="4"/>
      <c r="I409" s="4"/>
      <c r="J409" s="4"/>
      <c r="K409" s="4"/>
      <c r="L409" s="4"/>
      <c r="M409" s="4"/>
    </row>
    <row r="410" ht="12.75" customHeight="1">
      <c r="F410" s="4"/>
      <c r="G410" s="4"/>
      <c r="H410" s="4"/>
      <c r="I410" s="4"/>
      <c r="J410" s="4"/>
      <c r="K410" s="4"/>
      <c r="L410" s="4"/>
      <c r="M410" s="4"/>
    </row>
    <row r="411" ht="12.75" customHeight="1">
      <c r="F411" s="4"/>
      <c r="G411" s="4"/>
      <c r="H411" s="4"/>
      <c r="I411" s="4"/>
      <c r="J411" s="4"/>
      <c r="K411" s="4"/>
      <c r="L411" s="4"/>
      <c r="M411" s="4"/>
    </row>
    <row r="412" ht="12.75" customHeight="1">
      <c r="F412" s="4"/>
      <c r="G412" s="4"/>
      <c r="H412" s="4"/>
      <c r="I412" s="4"/>
      <c r="J412" s="4"/>
      <c r="K412" s="4"/>
      <c r="L412" s="4"/>
      <c r="M412" s="4"/>
    </row>
    <row r="413" ht="12.75" customHeight="1">
      <c r="F413" s="4"/>
      <c r="G413" s="4"/>
      <c r="H413" s="4"/>
      <c r="I413" s="4"/>
      <c r="J413" s="4"/>
      <c r="K413" s="4"/>
      <c r="L413" s="4"/>
      <c r="M413" s="4"/>
    </row>
    <row r="414" ht="12.75" customHeight="1">
      <c r="F414" s="4"/>
      <c r="G414" s="4"/>
      <c r="H414" s="4"/>
      <c r="I414" s="4"/>
      <c r="J414" s="4"/>
      <c r="K414" s="4"/>
      <c r="L414" s="4"/>
      <c r="M414" s="4"/>
    </row>
    <row r="415" ht="12.75" customHeight="1">
      <c r="F415" s="4"/>
      <c r="G415" s="4"/>
      <c r="H415" s="4"/>
      <c r="I415" s="4"/>
      <c r="J415" s="4"/>
      <c r="K415" s="4"/>
      <c r="L415" s="4"/>
      <c r="M415" s="4"/>
    </row>
    <row r="416" ht="12.75" customHeight="1">
      <c r="F416" s="4"/>
      <c r="G416" s="4"/>
      <c r="H416" s="4"/>
      <c r="I416" s="4"/>
      <c r="J416" s="4"/>
      <c r="K416" s="4"/>
      <c r="L416" s="4"/>
      <c r="M416" s="4"/>
    </row>
    <row r="417" ht="12.75" customHeight="1">
      <c r="F417" s="4"/>
      <c r="G417" s="4"/>
      <c r="H417" s="4"/>
      <c r="I417" s="4"/>
      <c r="J417" s="4"/>
      <c r="K417" s="4"/>
      <c r="L417" s="4"/>
      <c r="M417" s="4"/>
    </row>
    <row r="418" ht="12.75" customHeight="1">
      <c r="F418" s="4"/>
      <c r="G418" s="4"/>
      <c r="H418" s="4"/>
      <c r="I418" s="4"/>
      <c r="J418" s="4"/>
      <c r="K418" s="4"/>
      <c r="L418" s="4"/>
      <c r="M418" s="4"/>
    </row>
    <row r="419" ht="12.75" customHeight="1">
      <c r="F419" s="4"/>
      <c r="G419" s="4"/>
      <c r="H419" s="4"/>
      <c r="I419" s="4"/>
      <c r="J419" s="4"/>
      <c r="K419" s="4"/>
      <c r="L419" s="4"/>
      <c r="M419" s="4"/>
    </row>
    <row r="420" ht="12.75" customHeight="1">
      <c r="F420" s="4"/>
      <c r="G420" s="4"/>
      <c r="H420" s="4"/>
      <c r="I420" s="4"/>
      <c r="J420" s="4"/>
      <c r="K420" s="4"/>
      <c r="L420" s="4"/>
      <c r="M420" s="4"/>
    </row>
    <row r="421" ht="12.75" customHeight="1">
      <c r="F421" s="4"/>
      <c r="G421" s="4"/>
      <c r="H421" s="4"/>
      <c r="I421" s="4"/>
      <c r="J421" s="4"/>
      <c r="K421" s="4"/>
      <c r="L421" s="4"/>
      <c r="M421" s="4"/>
    </row>
    <row r="422" ht="12.75" customHeight="1">
      <c r="F422" s="4"/>
      <c r="G422" s="4"/>
      <c r="H422" s="4"/>
      <c r="I422" s="4"/>
      <c r="J422" s="4"/>
      <c r="K422" s="4"/>
      <c r="L422" s="4"/>
      <c r="M422" s="4"/>
    </row>
    <row r="423" ht="12.75" customHeight="1">
      <c r="F423" s="4"/>
      <c r="G423" s="4"/>
      <c r="H423" s="4"/>
      <c r="I423" s="4"/>
      <c r="J423" s="4"/>
      <c r="K423" s="4"/>
      <c r="L423" s="4"/>
      <c r="M423" s="4"/>
    </row>
    <row r="424" ht="12.75" customHeight="1">
      <c r="F424" s="4"/>
      <c r="G424" s="4"/>
      <c r="H424" s="4"/>
      <c r="I424" s="4"/>
      <c r="J424" s="4"/>
      <c r="K424" s="4"/>
      <c r="L424" s="4"/>
      <c r="M424" s="4"/>
    </row>
    <row r="425" ht="12.75" customHeight="1">
      <c r="F425" s="4"/>
      <c r="G425" s="4"/>
      <c r="H425" s="4"/>
      <c r="I425" s="4"/>
      <c r="J425" s="4"/>
      <c r="K425" s="4"/>
      <c r="L425" s="4"/>
      <c r="M425" s="4"/>
    </row>
    <row r="426" ht="12.75" customHeight="1">
      <c r="F426" s="4"/>
      <c r="G426" s="4"/>
      <c r="H426" s="4"/>
      <c r="I426" s="4"/>
      <c r="J426" s="4"/>
      <c r="K426" s="4"/>
      <c r="L426" s="4"/>
      <c r="M426" s="4"/>
    </row>
    <row r="427" ht="12.75" customHeight="1">
      <c r="F427" s="4"/>
      <c r="G427" s="4"/>
      <c r="H427" s="4"/>
      <c r="I427" s="4"/>
      <c r="J427" s="4"/>
      <c r="K427" s="4"/>
      <c r="L427" s="4"/>
      <c r="M427" s="4"/>
    </row>
    <row r="428" ht="12.75" customHeight="1">
      <c r="F428" s="4"/>
      <c r="G428" s="4"/>
      <c r="H428" s="4"/>
      <c r="I428" s="4"/>
      <c r="J428" s="4"/>
      <c r="K428" s="4"/>
      <c r="L428" s="4"/>
      <c r="M428" s="4"/>
    </row>
    <row r="429" ht="12.75" customHeight="1">
      <c r="F429" s="4"/>
      <c r="G429" s="4"/>
      <c r="H429" s="4"/>
      <c r="I429" s="4"/>
      <c r="J429" s="4"/>
      <c r="K429" s="4"/>
      <c r="L429" s="4"/>
      <c r="M429" s="4"/>
    </row>
    <row r="430" ht="12.75" customHeight="1">
      <c r="F430" s="4"/>
      <c r="G430" s="4"/>
      <c r="H430" s="4"/>
      <c r="I430" s="4"/>
      <c r="J430" s="4"/>
      <c r="K430" s="4"/>
      <c r="L430" s="4"/>
      <c r="M430" s="4"/>
    </row>
    <row r="431" ht="12.75" customHeight="1">
      <c r="F431" s="4"/>
      <c r="G431" s="4"/>
      <c r="H431" s="4"/>
      <c r="I431" s="4"/>
      <c r="J431" s="4"/>
      <c r="K431" s="4"/>
      <c r="L431" s="4"/>
      <c r="M431" s="4"/>
    </row>
    <row r="432" ht="12.75" customHeight="1">
      <c r="F432" s="4"/>
      <c r="G432" s="4"/>
      <c r="H432" s="4"/>
      <c r="I432" s="4"/>
      <c r="J432" s="4"/>
      <c r="K432" s="4"/>
      <c r="L432" s="4"/>
      <c r="M432" s="4"/>
    </row>
    <row r="433" ht="12.75" customHeight="1">
      <c r="F433" s="4"/>
      <c r="G433" s="4"/>
      <c r="H433" s="4"/>
      <c r="I433" s="4"/>
      <c r="J433" s="4"/>
      <c r="K433" s="4"/>
      <c r="L433" s="4"/>
      <c r="M433" s="4"/>
    </row>
    <row r="434" ht="12.75" customHeight="1">
      <c r="F434" s="4"/>
      <c r="G434" s="4"/>
      <c r="H434" s="4"/>
      <c r="I434" s="4"/>
      <c r="J434" s="4"/>
      <c r="K434" s="4"/>
      <c r="L434" s="4"/>
      <c r="M434" s="4"/>
    </row>
    <row r="435" ht="12.75" customHeight="1">
      <c r="F435" s="4"/>
      <c r="G435" s="4"/>
      <c r="H435" s="4"/>
      <c r="I435" s="4"/>
      <c r="J435" s="4"/>
      <c r="K435" s="4"/>
      <c r="L435" s="4"/>
      <c r="M435" s="4"/>
    </row>
    <row r="436" ht="12.75" customHeight="1">
      <c r="F436" s="4"/>
      <c r="G436" s="4"/>
      <c r="H436" s="4"/>
      <c r="I436" s="4"/>
      <c r="J436" s="4"/>
      <c r="K436" s="4"/>
      <c r="L436" s="4"/>
      <c r="M436" s="4"/>
    </row>
    <row r="437" ht="12.75" customHeight="1">
      <c r="F437" s="4"/>
      <c r="G437" s="4"/>
      <c r="H437" s="4"/>
      <c r="I437" s="4"/>
      <c r="J437" s="4"/>
      <c r="K437" s="4"/>
      <c r="L437" s="4"/>
      <c r="M437" s="4"/>
    </row>
    <row r="438" ht="12.75" customHeight="1">
      <c r="F438" s="4"/>
      <c r="G438" s="4"/>
      <c r="H438" s="4"/>
      <c r="I438" s="4"/>
      <c r="J438" s="4"/>
      <c r="K438" s="4"/>
      <c r="L438" s="4"/>
      <c r="M438" s="4"/>
    </row>
    <row r="439" ht="12.75" customHeight="1">
      <c r="F439" s="4"/>
      <c r="G439" s="4"/>
      <c r="H439" s="4"/>
      <c r="I439" s="4"/>
      <c r="J439" s="4"/>
      <c r="K439" s="4"/>
      <c r="L439" s="4"/>
      <c r="M439" s="4"/>
    </row>
    <row r="440" ht="12.75" customHeight="1">
      <c r="F440" s="4"/>
      <c r="G440" s="4"/>
      <c r="H440" s="4"/>
      <c r="I440" s="4"/>
      <c r="J440" s="4"/>
      <c r="K440" s="4"/>
      <c r="L440" s="4"/>
      <c r="M440" s="4"/>
    </row>
    <row r="441" ht="12.75" customHeight="1">
      <c r="F441" s="4"/>
      <c r="G441" s="4"/>
      <c r="H441" s="4"/>
      <c r="I441" s="4"/>
      <c r="J441" s="4"/>
      <c r="K441" s="4"/>
      <c r="L441" s="4"/>
      <c r="M441" s="4"/>
    </row>
    <row r="442" ht="12.75" customHeight="1">
      <c r="F442" s="4"/>
      <c r="G442" s="4"/>
      <c r="H442" s="4"/>
      <c r="I442" s="4"/>
      <c r="J442" s="4"/>
      <c r="K442" s="4"/>
      <c r="L442" s="4"/>
      <c r="M442" s="4"/>
    </row>
    <row r="443" ht="12.75" customHeight="1">
      <c r="F443" s="4"/>
      <c r="G443" s="4"/>
      <c r="H443" s="4"/>
      <c r="I443" s="4"/>
      <c r="J443" s="4"/>
      <c r="K443" s="4"/>
      <c r="L443" s="4"/>
      <c r="M443" s="4"/>
    </row>
    <row r="444" ht="12.75" customHeight="1">
      <c r="F444" s="4"/>
      <c r="G444" s="4"/>
      <c r="H444" s="4"/>
      <c r="I444" s="4"/>
      <c r="J444" s="4"/>
      <c r="K444" s="4"/>
      <c r="L444" s="4"/>
      <c r="M444" s="4"/>
    </row>
    <row r="445" ht="12.75" customHeight="1">
      <c r="F445" s="4"/>
      <c r="G445" s="4"/>
      <c r="H445" s="4"/>
      <c r="I445" s="4"/>
      <c r="J445" s="4"/>
      <c r="K445" s="4"/>
      <c r="L445" s="4"/>
      <c r="M445" s="4"/>
    </row>
    <row r="446" ht="12.75" customHeight="1">
      <c r="F446" s="4"/>
      <c r="G446" s="4"/>
      <c r="H446" s="4"/>
      <c r="I446" s="4"/>
      <c r="J446" s="4"/>
      <c r="K446" s="4"/>
      <c r="L446" s="4"/>
      <c r="M446" s="4"/>
    </row>
    <row r="447" ht="12.75" customHeight="1">
      <c r="F447" s="4"/>
      <c r="G447" s="4"/>
      <c r="H447" s="4"/>
      <c r="I447" s="4"/>
      <c r="J447" s="4"/>
      <c r="K447" s="4"/>
      <c r="L447" s="4"/>
      <c r="M447" s="4"/>
    </row>
    <row r="448" ht="12.75" customHeight="1">
      <c r="F448" s="4"/>
      <c r="G448" s="4"/>
      <c r="H448" s="4"/>
      <c r="I448" s="4"/>
      <c r="J448" s="4"/>
      <c r="K448" s="4"/>
      <c r="L448" s="4"/>
      <c r="M448" s="4"/>
    </row>
    <row r="449" ht="12.75" customHeight="1">
      <c r="F449" s="4"/>
      <c r="G449" s="4"/>
      <c r="H449" s="4"/>
      <c r="I449" s="4"/>
      <c r="J449" s="4"/>
      <c r="K449" s="4"/>
      <c r="L449" s="4"/>
      <c r="M449" s="4"/>
    </row>
    <row r="450" ht="12.75" customHeight="1">
      <c r="F450" s="4"/>
      <c r="G450" s="4"/>
      <c r="H450" s="4"/>
      <c r="I450" s="4"/>
      <c r="J450" s="4"/>
      <c r="K450" s="4"/>
      <c r="L450" s="4"/>
      <c r="M450" s="4"/>
    </row>
    <row r="451" ht="12.75" customHeight="1">
      <c r="F451" s="4"/>
      <c r="G451" s="4"/>
      <c r="H451" s="4"/>
      <c r="I451" s="4"/>
      <c r="J451" s="4"/>
      <c r="K451" s="4"/>
      <c r="L451" s="4"/>
      <c r="M451" s="4"/>
    </row>
    <row r="452" ht="12.75" customHeight="1">
      <c r="F452" s="4"/>
      <c r="G452" s="4"/>
      <c r="H452" s="4"/>
      <c r="I452" s="4"/>
      <c r="J452" s="4"/>
      <c r="K452" s="4"/>
      <c r="L452" s="4"/>
      <c r="M452" s="4"/>
    </row>
    <row r="453" ht="12.75" customHeight="1">
      <c r="F453" s="4"/>
      <c r="G453" s="4"/>
      <c r="H453" s="4"/>
      <c r="I453" s="4"/>
      <c r="J453" s="4"/>
      <c r="K453" s="4"/>
      <c r="L453" s="4"/>
      <c r="M453" s="4"/>
    </row>
    <row r="454" ht="12.75" customHeight="1">
      <c r="F454" s="4"/>
      <c r="G454" s="4"/>
      <c r="H454" s="4"/>
      <c r="I454" s="4"/>
      <c r="J454" s="4"/>
      <c r="K454" s="4"/>
      <c r="L454" s="4"/>
      <c r="M454" s="4"/>
    </row>
    <row r="455" ht="12.75" customHeight="1">
      <c r="F455" s="4"/>
      <c r="G455" s="4"/>
      <c r="H455" s="4"/>
      <c r="I455" s="4"/>
      <c r="J455" s="4"/>
      <c r="K455" s="4"/>
      <c r="L455" s="4"/>
      <c r="M455" s="4"/>
    </row>
    <row r="456" ht="12.75" customHeight="1">
      <c r="F456" s="4"/>
      <c r="G456" s="4"/>
      <c r="H456" s="4"/>
      <c r="I456" s="4"/>
      <c r="J456" s="4"/>
      <c r="K456" s="4"/>
      <c r="L456" s="4"/>
      <c r="M456" s="4"/>
    </row>
    <row r="457" ht="12.75" customHeight="1">
      <c r="F457" s="4"/>
      <c r="G457" s="4"/>
      <c r="H457" s="4"/>
      <c r="I457" s="4"/>
      <c r="J457" s="4"/>
      <c r="K457" s="4"/>
      <c r="L457" s="4"/>
      <c r="M457" s="4"/>
    </row>
    <row r="458" ht="12.75" customHeight="1">
      <c r="F458" s="4"/>
      <c r="G458" s="4"/>
      <c r="H458" s="4"/>
      <c r="I458" s="4"/>
      <c r="J458" s="4"/>
      <c r="K458" s="4"/>
      <c r="L458" s="4"/>
      <c r="M458" s="4"/>
    </row>
    <row r="459" ht="12.75" customHeight="1">
      <c r="F459" s="4"/>
      <c r="G459" s="4"/>
      <c r="H459" s="4"/>
      <c r="I459" s="4"/>
      <c r="J459" s="4"/>
      <c r="K459" s="4"/>
      <c r="L459" s="4"/>
      <c r="M459" s="4"/>
    </row>
    <row r="460" ht="12.75" customHeight="1">
      <c r="F460" s="4"/>
      <c r="G460" s="4"/>
      <c r="H460" s="4"/>
      <c r="I460" s="4"/>
      <c r="J460" s="4"/>
      <c r="K460" s="4"/>
      <c r="L460" s="4"/>
      <c r="M460" s="4"/>
    </row>
    <row r="461" ht="12.75" customHeight="1">
      <c r="F461" s="4"/>
      <c r="G461" s="4"/>
      <c r="H461" s="4"/>
      <c r="I461" s="4"/>
      <c r="J461" s="4"/>
      <c r="K461" s="4"/>
      <c r="L461" s="4"/>
      <c r="M461" s="4"/>
    </row>
    <row r="462" ht="12.75" customHeight="1">
      <c r="F462" s="4"/>
      <c r="G462" s="4"/>
      <c r="H462" s="4"/>
      <c r="I462" s="4"/>
      <c r="J462" s="4"/>
      <c r="K462" s="4"/>
      <c r="L462" s="4"/>
      <c r="M462" s="4"/>
    </row>
    <row r="463" ht="12.75" customHeight="1">
      <c r="F463" s="4"/>
      <c r="G463" s="4"/>
      <c r="H463" s="4"/>
      <c r="I463" s="4"/>
      <c r="J463" s="4"/>
      <c r="K463" s="4"/>
      <c r="L463" s="4"/>
      <c r="M463" s="4"/>
    </row>
    <row r="464" ht="12.75" customHeight="1">
      <c r="F464" s="4"/>
      <c r="G464" s="4"/>
      <c r="H464" s="4"/>
      <c r="I464" s="4"/>
      <c r="J464" s="4"/>
      <c r="K464" s="4"/>
      <c r="L464" s="4"/>
      <c r="M464" s="4"/>
    </row>
    <row r="465" ht="12.75" customHeight="1">
      <c r="F465" s="4"/>
      <c r="G465" s="4"/>
      <c r="H465" s="4"/>
      <c r="I465" s="4"/>
      <c r="J465" s="4"/>
      <c r="K465" s="4"/>
      <c r="L465" s="4"/>
      <c r="M465" s="4"/>
    </row>
    <row r="466" ht="12.75" customHeight="1">
      <c r="F466" s="4"/>
      <c r="G466" s="4"/>
      <c r="H466" s="4"/>
      <c r="I466" s="4"/>
      <c r="J466" s="4"/>
      <c r="K466" s="4"/>
      <c r="L466" s="4"/>
      <c r="M466" s="4"/>
    </row>
    <row r="467" ht="12.75" customHeight="1">
      <c r="F467" s="4"/>
      <c r="G467" s="4"/>
      <c r="H467" s="4"/>
      <c r="I467" s="4"/>
      <c r="J467" s="4"/>
      <c r="K467" s="4"/>
      <c r="L467" s="4"/>
      <c r="M467" s="4"/>
    </row>
    <row r="468" ht="12.75" customHeight="1">
      <c r="F468" s="4"/>
      <c r="G468" s="4"/>
      <c r="H468" s="4"/>
      <c r="I468" s="4"/>
      <c r="J468" s="4"/>
      <c r="K468" s="4"/>
      <c r="L468" s="4"/>
      <c r="M468" s="4"/>
    </row>
    <row r="469" ht="12.75" customHeight="1">
      <c r="F469" s="4"/>
      <c r="G469" s="4"/>
      <c r="H469" s="4"/>
      <c r="I469" s="4"/>
      <c r="J469" s="4"/>
      <c r="K469" s="4"/>
      <c r="L469" s="4"/>
      <c r="M469" s="4"/>
    </row>
    <row r="470" ht="12.75" customHeight="1">
      <c r="F470" s="4"/>
      <c r="G470" s="4"/>
      <c r="H470" s="4"/>
      <c r="I470" s="4"/>
      <c r="J470" s="4"/>
      <c r="K470" s="4"/>
      <c r="L470" s="4"/>
      <c r="M470" s="4"/>
    </row>
    <row r="471" ht="12.75" customHeight="1">
      <c r="F471" s="4"/>
      <c r="G471" s="4"/>
      <c r="H471" s="4"/>
      <c r="I471" s="4"/>
      <c r="J471" s="4"/>
      <c r="K471" s="4"/>
      <c r="L471" s="4"/>
      <c r="M471" s="4"/>
    </row>
    <row r="472" ht="12.75" customHeight="1">
      <c r="F472" s="4"/>
      <c r="G472" s="4"/>
      <c r="H472" s="4"/>
      <c r="I472" s="4"/>
      <c r="J472" s="4"/>
      <c r="K472" s="4"/>
      <c r="L472" s="4"/>
      <c r="M472" s="4"/>
    </row>
    <row r="473" ht="12.75" customHeight="1">
      <c r="F473" s="4"/>
      <c r="G473" s="4"/>
      <c r="H473" s="4"/>
      <c r="I473" s="4"/>
      <c r="J473" s="4"/>
      <c r="K473" s="4"/>
      <c r="L473" s="4"/>
      <c r="M473" s="4"/>
    </row>
    <row r="474" ht="12.75" customHeight="1">
      <c r="F474" s="4"/>
      <c r="G474" s="4"/>
      <c r="H474" s="4"/>
      <c r="I474" s="4"/>
      <c r="J474" s="4"/>
      <c r="K474" s="4"/>
      <c r="L474" s="4"/>
      <c r="M474" s="4"/>
    </row>
    <row r="475" ht="12.75" customHeight="1">
      <c r="F475" s="4"/>
      <c r="G475" s="4"/>
      <c r="H475" s="4"/>
      <c r="I475" s="4"/>
      <c r="J475" s="4"/>
      <c r="K475" s="4"/>
      <c r="L475" s="4"/>
      <c r="M475" s="4"/>
    </row>
    <row r="476" ht="12.75" customHeight="1">
      <c r="F476" s="4"/>
      <c r="G476" s="4"/>
      <c r="H476" s="4"/>
      <c r="I476" s="4"/>
      <c r="J476" s="4"/>
      <c r="K476" s="4"/>
      <c r="L476" s="4"/>
      <c r="M476" s="4"/>
    </row>
    <row r="477" ht="12.75" customHeight="1">
      <c r="F477" s="4"/>
      <c r="G477" s="4"/>
      <c r="H477" s="4"/>
      <c r="I477" s="4"/>
      <c r="J477" s="4"/>
      <c r="K477" s="4"/>
      <c r="L477" s="4"/>
      <c r="M477" s="4"/>
    </row>
    <row r="478" ht="12.75" customHeight="1">
      <c r="F478" s="4"/>
      <c r="G478" s="4"/>
      <c r="H478" s="4"/>
      <c r="I478" s="4"/>
      <c r="J478" s="4"/>
      <c r="K478" s="4"/>
      <c r="L478" s="4"/>
      <c r="M478" s="4"/>
    </row>
    <row r="479" ht="12.75" customHeight="1">
      <c r="F479" s="4"/>
      <c r="G479" s="4"/>
      <c r="H479" s="4"/>
      <c r="I479" s="4"/>
      <c r="J479" s="4"/>
      <c r="K479" s="4"/>
      <c r="L479" s="4"/>
      <c r="M479" s="4"/>
    </row>
    <row r="480" ht="12.75" customHeight="1">
      <c r="F480" s="4"/>
      <c r="G480" s="4"/>
      <c r="H480" s="4"/>
      <c r="I480" s="4"/>
      <c r="J480" s="4"/>
      <c r="K480" s="4"/>
      <c r="L480" s="4"/>
      <c r="M480" s="4"/>
    </row>
    <row r="481" ht="12.75" customHeight="1">
      <c r="F481" s="4"/>
      <c r="G481" s="4"/>
      <c r="H481" s="4"/>
      <c r="I481" s="4"/>
      <c r="J481" s="4"/>
      <c r="K481" s="4"/>
      <c r="L481" s="4"/>
      <c r="M481" s="4"/>
    </row>
    <row r="482" ht="12.75" customHeight="1">
      <c r="F482" s="4"/>
      <c r="G482" s="4"/>
      <c r="H482" s="4"/>
      <c r="I482" s="4"/>
      <c r="J482" s="4"/>
      <c r="K482" s="4"/>
      <c r="L482" s="4"/>
      <c r="M482" s="4"/>
    </row>
    <row r="483" ht="12.75" customHeight="1">
      <c r="F483" s="4"/>
      <c r="G483" s="4"/>
      <c r="H483" s="4"/>
      <c r="I483" s="4"/>
      <c r="J483" s="4"/>
      <c r="K483" s="4"/>
      <c r="L483" s="4"/>
      <c r="M483" s="4"/>
    </row>
    <row r="484" ht="12.75" customHeight="1">
      <c r="F484" s="4"/>
      <c r="G484" s="4"/>
      <c r="H484" s="4"/>
      <c r="I484" s="4"/>
      <c r="J484" s="4"/>
      <c r="K484" s="4"/>
      <c r="L484" s="4"/>
      <c r="M484" s="4"/>
    </row>
    <row r="485" ht="12.75" customHeight="1">
      <c r="F485" s="4"/>
      <c r="G485" s="4"/>
      <c r="H485" s="4"/>
      <c r="I485" s="4"/>
      <c r="J485" s="4"/>
      <c r="K485" s="4"/>
      <c r="L485" s="4"/>
      <c r="M485" s="4"/>
    </row>
    <row r="486" ht="12.75" customHeight="1">
      <c r="F486" s="4"/>
      <c r="G486" s="4"/>
      <c r="H486" s="4"/>
      <c r="I486" s="4"/>
      <c r="J486" s="4"/>
      <c r="K486" s="4"/>
      <c r="L486" s="4"/>
      <c r="M486" s="4"/>
    </row>
    <row r="487" ht="12.75" customHeight="1">
      <c r="F487" s="4"/>
      <c r="G487" s="4"/>
      <c r="H487" s="4"/>
      <c r="I487" s="4"/>
      <c r="J487" s="4"/>
      <c r="K487" s="4"/>
      <c r="L487" s="4"/>
      <c r="M487" s="4"/>
    </row>
    <row r="488" ht="12.75" customHeight="1">
      <c r="F488" s="4"/>
      <c r="G488" s="4"/>
      <c r="H488" s="4"/>
      <c r="I488" s="4"/>
      <c r="J488" s="4"/>
      <c r="K488" s="4"/>
      <c r="L488" s="4"/>
      <c r="M488" s="4"/>
    </row>
    <row r="489" ht="12.75" customHeight="1">
      <c r="F489" s="4"/>
      <c r="G489" s="4"/>
      <c r="H489" s="4"/>
      <c r="I489" s="4"/>
      <c r="J489" s="4"/>
      <c r="K489" s="4"/>
      <c r="L489" s="4"/>
      <c r="M489" s="4"/>
    </row>
    <row r="490" ht="12.75" customHeight="1">
      <c r="F490" s="4"/>
      <c r="G490" s="4"/>
      <c r="H490" s="4"/>
      <c r="I490" s="4"/>
      <c r="J490" s="4"/>
      <c r="K490" s="4"/>
      <c r="L490" s="4"/>
      <c r="M490" s="4"/>
    </row>
    <row r="491" ht="12.75" customHeight="1">
      <c r="F491" s="4"/>
      <c r="G491" s="4"/>
      <c r="H491" s="4"/>
      <c r="I491" s="4"/>
      <c r="J491" s="4"/>
      <c r="K491" s="4"/>
      <c r="L491" s="4"/>
      <c r="M491" s="4"/>
    </row>
    <row r="492" ht="12.75" customHeight="1">
      <c r="F492" s="4"/>
      <c r="G492" s="4"/>
      <c r="H492" s="4"/>
      <c r="I492" s="4"/>
      <c r="J492" s="4"/>
      <c r="K492" s="4"/>
      <c r="L492" s="4"/>
      <c r="M492" s="4"/>
    </row>
    <row r="493" ht="12.75" customHeight="1">
      <c r="F493" s="4"/>
      <c r="G493" s="4"/>
      <c r="H493" s="4"/>
      <c r="I493" s="4"/>
      <c r="J493" s="4"/>
      <c r="K493" s="4"/>
      <c r="L493" s="4"/>
      <c r="M493" s="4"/>
    </row>
    <row r="494" ht="12.75" customHeight="1">
      <c r="F494" s="4"/>
      <c r="G494" s="4"/>
      <c r="H494" s="4"/>
      <c r="I494" s="4"/>
      <c r="J494" s="4"/>
      <c r="K494" s="4"/>
      <c r="L494" s="4"/>
      <c r="M494" s="4"/>
    </row>
    <row r="495" ht="12.75" customHeight="1">
      <c r="F495" s="4"/>
      <c r="G495" s="4"/>
      <c r="H495" s="4"/>
      <c r="I495" s="4"/>
      <c r="J495" s="4"/>
      <c r="K495" s="4"/>
      <c r="L495" s="4"/>
      <c r="M495" s="4"/>
    </row>
    <row r="496" ht="12.75" customHeight="1">
      <c r="F496" s="4"/>
      <c r="G496" s="4"/>
      <c r="H496" s="4"/>
      <c r="I496" s="4"/>
      <c r="J496" s="4"/>
      <c r="K496" s="4"/>
      <c r="L496" s="4"/>
      <c r="M496" s="4"/>
    </row>
    <row r="497" ht="12.75" customHeight="1">
      <c r="F497" s="4"/>
      <c r="G497" s="4"/>
      <c r="H497" s="4"/>
      <c r="I497" s="4"/>
      <c r="J497" s="4"/>
      <c r="K497" s="4"/>
      <c r="L497" s="4"/>
      <c r="M497" s="4"/>
    </row>
    <row r="498" ht="12.75" customHeight="1">
      <c r="F498" s="4"/>
      <c r="G498" s="4"/>
      <c r="H498" s="4"/>
      <c r="I498" s="4"/>
      <c r="J498" s="4"/>
      <c r="K498" s="4"/>
      <c r="L498" s="4"/>
      <c r="M498" s="4"/>
    </row>
    <row r="499" ht="12.75" customHeight="1">
      <c r="F499" s="4"/>
      <c r="G499" s="4"/>
      <c r="H499" s="4"/>
      <c r="I499" s="4"/>
      <c r="J499" s="4"/>
      <c r="K499" s="4"/>
      <c r="L499" s="4"/>
      <c r="M499" s="4"/>
    </row>
    <row r="500" ht="12.75" customHeight="1">
      <c r="F500" s="4"/>
      <c r="G500" s="4"/>
      <c r="H500" s="4"/>
      <c r="I500" s="4"/>
      <c r="J500" s="4"/>
      <c r="K500" s="4"/>
      <c r="L500" s="4"/>
      <c r="M500" s="4"/>
    </row>
    <row r="501" ht="12.75" customHeight="1">
      <c r="F501" s="4"/>
      <c r="G501" s="4"/>
      <c r="H501" s="4"/>
      <c r="I501" s="4"/>
      <c r="J501" s="4"/>
      <c r="K501" s="4"/>
      <c r="L501" s="4"/>
      <c r="M501" s="4"/>
    </row>
    <row r="502" ht="12.75" customHeight="1">
      <c r="F502" s="4"/>
      <c r="G502" s="4"/>
      <c r="H502" s="4"/>
      <c r="I502" s="4"/>
      <c r="J502" s="4"/>
      <c r="K502" s="4"/>
      <c r="L502" s="4"/>
      <c r="M502" s="4"/>
    </row>
    <row r="503" ht="12.75" customHeight="1">
      <c r="F503" s="4"/>
      <c r="G503" s="4"/>
      <c r="H503" s="4"/>
      <c r="I503" s="4"/>
      <c r="J503" s="4"/>
      <c r="K503" s="4"/>
      <c r="L503" s="4"/>
      <c r="M503" s="4"/>
    </row>
    <row r="504" ht="12.75" customHeight="1">
      <c r="F504" s="4"/>
      <c r="G504" s="4"/>
      <c r="H504" s="4"/>
      <c r="I504" s="4"/>
      <c r="J504" s="4"/>
      <c r="K504" s="4"/>
      <c r="L504" s="4"/>
      <c r="M504" s="4"/>
    </row>
    <row r="505" ht="12.75" customHeight="1">
      <c r="F505" s="4"/>
      <c r="G505" s="4"/>
      <c r="H505" s="4"/>
      <c r="I505" s="4"/>
      <c r="J505" s="4"/>
      <c r="K505" s="4"/>
      <c r="L505" s="4"/>
      <c r="M505" s="4"/>
    </row>
    <row r="506" ht="12.75" customHeight="1">
      <c r="F506" s="4"/>
      <c r="G506" s="4"/>
      <c r="H506" s="4"/>
      <c r="I506" s="4"/>
      <c r="J506" s="4"/>
      <c r="K506" s="4"/>
      <c r="L506" s="4"/>
      <c r="M506" s="4"/>
    </row>
    <row r="507" ht="12.75" customHeight="1">
      <c r="F507" s="4"/>
      <c r="G507" s="4"/>
      <c r="H507" s="4"/>
      <c r="I507" s="4"/>
      <c r="J507" s="4"/>
      <c r="K507" s="4"/>
      <c r="L507" s="4"/>
      <c r="M507" s="4"/>
    </row>
    <row r="508" ht="12.75" customHeight="1">
      <c r="F508" s="4"/>
      <c r="G508" s="4"/>
      <c r="H508" s="4"/>
      <c r="I508" s="4"/>
      <c r="J508" s="4"/>
      <c r="K508" s="4"/>
      <c r="L508" s="4"/>
      <c r="M508" s="4"/>
    </row>
    <row r="509" ht="12.75" customHeight="1">
      <c r="F509" s="4"/>
      <c r="G509" s="4"/>
      <c r="H509" s="4"/>
      <c r="I509" s="4"/>
      <c r="J509" s="4"/>
      <c r="K509" s="4"/>
      <c r="L509" s="4"/>
      <c r="M509" s="4"/>
    </row>
    <row r="510" ht="12.75" customHeight="1">
      <c r="F510" s="4"/>
      <c r="G510" s="4"/>
      <c r="H510" s="4"/>
      <c r="I510" s="4"/>
      <c r="J510" s="4"/>
      <c r="K510" s="4"/>
      <c r="L510" s="4"/>
      <c r="M510" s="4"/>
    </row>
    <row r="511" ht="12.75" customHeight="1">
      <c r="F511" s="4"/>
      <c r="G511" s="4"/>
      <c r="H511" s="4"/>
      <c r="I511" s="4"/>
      <c r="J511" s="4"/>
      <c r="K511" s="4"/>
      <c r="L511" s="4"/>
      <c r="M511" s="4"/>
    </row>
    <row r="512" ht="12.75" customHeight="1">
      <c r="F512" s="4"/>
      <c r="G512" s="4"/>
      <c r="H512" s="4"/>
      <c r="I512" s="4"/>
      <c r="J512" s="4"/>
      <c r="K512" s="4"/>
      <c r="L512" s="4"/>
      <c r="M512" s="4"/>
    </row>
    <row r="513" ht="12.75" customHeight="1">
      <c r="F513" s="4"/>
      <c r="G513" s="4"/>
      <c r="H513" s="4"/>
      <c r="I513" s="4"/>
      <c r="J513" s="4"/>
      <c r="K513" s="4"/>
      <c r="L513" s="4"/>
      <c r="M513" s="4"/>
    </row>
    <row r="514" ht="12.75" customHeight="1">
      <c r="F514" s="4"/>
      <c r="G514" s="4"/>
      <c r="H514" s="4"/>
      <c r="I514" s="4"/>
      <c r="J514" s="4"/>
      <c r="K514" s="4"/>
      <c r="L514" s="4"/>
      <c r="M514" s="4"/>
    </row>
    <row r="515" ht="12.75" customHeight="1">
      <c r="F515" s="4"/>
      <c r="G515" s="4"/>
      <c r="H515" s="4"/>
      <c r="I515" s="4"/>
      <c r="J515" s="4"/>
      <c r="K515" s="4"/>
      <c r="L515" s="4"/>
      <c r="M515" s="4"/>
    </row>
    <row r="516" ht="12.75" customHeight="1">
      <c r="F516" s="4"/>
      <c r="G516" s="4"/>
      <c r="H516" s="4"/>
      <c r="I516" s="4"/>
      <c r="J516" s="4"/>
      <c r="K516" s="4"/>
      <c r="L516" s="4"/>
      <c r="M516" s="4"/>
    </row>
    <row r="517" ht="12.75" customHeight="1">
      <c r="F517" s="4"/>
      <c r="G517" s="4"/>
      <c r="H517" s="4"/>
      <c r="I517" s="4"/>
      <c r="J517" s="4"/>
      <c r="K517" s="4"/>
      <c r="L517" s="4"/>
      <c r="M517" s="4"/>
    </row>
    <row r="518" ht="12.75" customHeight="1">
      <c r="F518" s="4"/>
      <c r="G518" s="4"/>
      <c r="H518" s="4"/>
      <c r="I518" s="4"/>
      <c r="J518" s="4"/>
      <c r="K518" s="4"/>
      <c r="L518" s="4"/>
      <c r="M518" s="4"/>
    </row>
    <row r="519" ht="12.75" customHeight="1">
      <c r="F519" s="4"/>
      <c r="G519" s="4"/>
      <c r="H519" s="4"/>
      <c r="I519" s="4"/>
      <c r="J519" s="4"/>
      <c r="K519" s="4"/>
      <c r="L519" s="4"/>
      <c r="M519" s="4"/>
    </row>
    <row r="520" ht="12.75" customHeight="1">
      <c r="F520" s="4"/>
      <c r="G520" s="4"/>
      <c r="H520" s="4"/>
      <c r="I520" s="4"/>
      <c r="J520" s="4"/>
      <c r="K520" s="4"/>
      <c r="L520" s="4"/>
      <c r="M520" s="4"/>
    </row>
    <row r="521" ht="12.75" customHeight="1">
      <c r="F521" s="4"/>
      <c r="G521" s="4"/>
      <c r="H521" s="4"/>
      <c r="I521" s="4"/>
      <c r="J521" s="4"/>
      <c r="K521" s="4"/>
      <c r="L521" s="4"/>
      <c r="M521" s="4"/>
    </row>
    <row r="522" ht="12.75" customHeight="1">
      <c r="F522" s="4"/>
      <c r="G522" s="4"/>
      <c r="H522" s="4"/>
      <c r="I522" s="4"/>
      <c r="J522" s="4"/>
      <c r="K522" s="4"/>
      <c r="L522" s="4"/>
      <c r="M522" s="4"/>
    </row>
    <row r="523" ht="12.75" customHeight="1">
      <c r="F523" s="4"/>
      <c r="G523" s="4"/>
      <c r="H523" s="4"/>
      <c r="I523" s="4"/>
      <c r="J523" s="4"/>
      <c r="K523" s="4"/>
      <c r="L523" s="4"/>
      <c r="M523" s="4"/>
    </row>
    <row r="524" ht="12.75" customHeight="1">
      <c r="F524" s="4"/>
      <c r="G524" s="4"/>
      <c r="H524" s="4"/>
      <c r="I524" s="4"/>
      <c r="J524" s="4"/>
      <c r="K524" s="4"/>
      <c r="L524" s="4"/>
      <c r="M524" s="4"/>
    </row>
    <row r="525" ht="12.75" customHeight="1">
      <c r="F525" s="4"/>
      <c r="G525" s="4"/>
      <c r="H525" s="4"/>
      <c r="I525" s="4"/>
      <c r="J525" s="4"/>
      <c r="K525" s="4"/>
      <c r="L525" s="4"/>
      <c r="M525" s="4"/>
    </row>
    <row r="526" ht="12.75" customHeight="1">
      <c r="F526" s="4"/>
      <c r="G526" s="4"/>
      <c r="H526" s="4"/>
      <c r="I526" s="4"/>
      <c r="J526" s="4"/>
      <c r="K526" s="4"/>
      <c r="L526" s="4"/>
      <c r="M526" s="4"/>
    </row>
    <row r="527" ht="12.75" customHeight="1">
      <c r="F527" s="4"/>
      <c r="G527" s="4"/>
      <c r="H527" s="4"/>
      <c r="I527" s="4"/>
      <c r="J527" s="4"/>
      <c r="K527" s="4"/>
      <c r="L527" s="4"/>
      <c r="M527" s="4"/>
    </row>
    <row r="528" ht="12.75" customHeight="1">
      <c r="F528" s="4"/>
      <c r="G528" s="4"/>
      <c r="H528" s="4"/>
      <c r="I528" s="4"/>
      <c r="J528" s="4"/>
      <c r="K528" s="4"/>
      <c r="L528" s="4"/>
      <c r="M528" s="4"/>
    </row>
    <row r="529" ht="12.75" customHeight="1">
      <c r="F529" s="4"/>
      <c r="G529" s="4"/>
      <c r="H529" s="4"/>
      <c r="I529" s="4"/>
      <c r="J529" s="4"/>
      <c r="K529" s="4"/>
      <c r="L529" s="4"/>
      <c r="M529" s="4"/>
    </row>
    <row r="530" ht="12.75" customHeight="1">
      <c r="F530" s="4"/>
      <c r="G530" s="4"/>
      <c r="H530" s="4"/>
      <c r="I530" s="4"/>
      <c r="J530" s="4"/>
      <c r="K530" s="4"/>
      <c r="L530" s="4"/>
      <c r="M530" s="4"/>
    </row>
    <row r="531" ht="12.75" customHeight="1">
      <c r="F531" s="4"/>
      <c r="G531" s="4"/>
      <c r="H531" s="4"/>
      <c r="I531" s="4"/>
      <c r="J531" s="4"/>
      <c r="K531" s="4"/>
      <c r="L531" s="4"/>
      <c r="M531" s="4"/>
    </row>
    <row r="532" ht="12.75" customHeight="1">
      <c r="F532" s="4"/>
      <c r="G532" s="4"/>
      <c r="H532" s="4"/>
      <c r="I532" s="4"/>
      <c r="J532" s="4"/>
      <c r="K532" s="4"/>
      <c r="L532" s="4"/>
      <c r="M532" s="4"/>
    </row>
    <row r="533" ht="12.75" customHeight="1">
      <c r="F533" s="4"/>
      <c r="G533" s="4"/>
      <c r="H533" s="4"/>
      <c r="I533" s="4"/>
      <c r="J533" s="4"/>
      <c r="K533" s="4"/>
      <c r="L533" s="4"/>
      <c r="M533" s="4"/>
    </row>
    <row r="534" ht="12.75" customHeight="1">
      <c r="F534" s="4"/>
      <c r="G534" s="4"/>
      <c r="H534" s="4"/>
      <c r="I534" s="4"/>
      <c r="J534" s="4"/>
      <c r="K534" s="4"/>
      <c r="L534" s="4"/>
      <c r="M534" s="4"/>
    </row>
    <row r="535" ht="12.75" customHeight="1">
      <c r="F535" s="4"/>
      <c r="G535" s="4"/>
      <c r="H535" s="4"/>
      <c r="I535" s="4"/>
      <c r="J535" s="4"/>
      <c r="K535" s="4"/>
      <c r="L535" s="4"/>
      <c r="M535" s="4"/>
    </row>
    <row r="536" ht="12.75" customHeight="1">
      <c r="F536" s="4"/>
      <c r="G536" s="4"/>
      <c r="H536" s="4"/>
      <c r="I536" s="4"/>
      <c r="J536" s="4"/>
      <c r="K536" s="4"/>
      <c r="L536" s="4"/>
      <c r="M536" s="4"/>
    </row>
    <row r="537" ht="12.75" customHeight="1">
      <c r="F537" s="4"/>
      <c r="G537" s="4"/>
      <c r="H537" s="4"/>
      <c r="I537" s="4"/>
      <c r="J537" s="4"/>
      <c r="K537" s="4"/>
      <c r="L537" s="4"/>
      <c r="M537" s="4"/>
    </row>
    <row r="538" ht="12.75" customHeight="1">
      <c r="F538" s="4"/>
      <c r="G538" s="4"/>
      <c r="H538" s="4"/>
      <c r="I538" s="4"/>
      <c r="J538" s="4"/>
      <c r="K538" s="4"/>
      <c r="L538" s="4"/>
      <c r="M538" s="4"/>
    </row>
    <row r="539" ht="12.75" customHeight="1">
      <c r="F539" s="4"/>
      <c r="G539" s="4"/>
      <c r="H539" s="4"/>
      <c r="I539" s="4"/>
      <c r="J539" s="4"/>
      <c r="K539" s="4"/>
      <c r="L539" s="4"/>
      <c r="M539" s="4"/>
    </row>
    <row r="540" ht="12.75" customHeight="1">
      <c r="F540" s="4"/>
      <c r="G540" s="4"/>
      <c r="H540" s="4"/>
      <c r="I540" s="4"/>
      <c r="J540" s="4"/>
      <c r="K540" s="4"/>
      <c r="L540" s="4"/>
      <c r="M540" s="4"/>
    </row>
    <row r="541" ht="12.75" customHeight="1">
      <c r="F541" s="4"/>
      <c r="G541" s="4"/>
      <c r="H541" s="4"/>
      <c r="I541" s="4"/>
      <c r="J541" s="4"/>
      <c r="K541" s="4"/>
      <c r="L541" s="4"/>
      <c r="M541" s="4"/>
    </row>
    <row r="542" ht="12.75" customHeight="1">
      <c r="F542" s="4"/>
      <c r="G542" s="4"/>
      <c r="H542" s="4"/>
      <c r="I542" s="4"/>
      <c r="J542" s="4"/>
      <c r="K542" s="4"/>
      <c r="L542" s="4"/>
      <c r="M542" s="4"/>
    </row>
    <row r="543" ht="12.75" customHeight="1">
      <c r="F543" s="4"/>
      <c r="G543" s="4"/>
      <c r="H543" s="4"/>
      <c r="I543" s="4"/>
      <c r="J543" s="4"/>
      <c r="K543" s="4"/>
      <c r="L543" s="4"/>
      <c r="M543" s="4"/>
    </row>
    <row r="544" ht="12.75" customHeight="1">
      <c r="F544" s="4"/>
      <c r="G544" s="4"/>
      <c r="H544" s="4"/>
      <c r="I544" s="4"/>
      <c r="J544" s="4"/>
      <c r="K544" s="4"/>
      <c r="L544" s="4"/>
      <c r="M544" s="4"/>
    </row>
    <row r="545" ht="12.75" customHeight="1">
      <c r="F545" s="4"/>
      <c r="G545" s="4"/>
      <c r="H545" s="4"/>
      <c r="I545" s="4"/>
      <c r="J545" s="4"/>
      <c r="K545" s="4"/>
      <c r="L545" s="4"/>
      <c r="M545" s="4"/>
    </row>
    <row r="546" ht="12.75" customHeight="1">
      <c r="F546" s="4"/>
      <c r="G546" s="4"/>
      <c r="H546" s="4"/>
      <c r="I546" s="4"/>
      <c r="J546" s="4"/>
      <c r="K546" s="4"/>
      <c r="L546" s="4"/>
      <c r="M546" s="4"/>
    </row>
    <row r="547" ht="12.75" customHeight="1">
      <c r="F547" s="4"/>
      <c r="G547" s="4"/>
      <c r="H547" s="4"/>
      <c r="I547" s="4"/>
      <c r="J547" s="4"/>
      <c r="K547" s="4"/>
      <c r="L547" s="4"/>
      <c r="M547" s="4"/>
    </row>
    <row r="548" ht="12.75" customHeight="1">
      <c r="F548" s="4"/>
      <c r="G548" s="4"/>
      <c r="H548" s="4"/>
      <c r="I548" s="4"/>
      <c r="J548" s="4"/>
      <c r="K548" s="4"/>
      <c r="L548" s="4"/>
      <c r="M548" s="4"/>
    </row>
    <row r="549" ht="12.75" customHeight="1">
      <c r="F549" s="4"/>
      <c r="G549" s="4"/>
      <c r="H549" s="4"/>
      <c r="I549" s="4"/>
      <c r="J549" s="4"/>
      <c r="K549" s="4"/>
      <c r="L549" s="4"/>
      <c r="M549" s="4"/>
    </row>
    <row r="550" ht="12.75" customHeight="1">
      <c r="F550" s="4"/>
      <c r="G550" s="4"/>
      <c r="H550" s="4"/>
      <c r="I550" s="4"/>
      <c r="J550" s="4"/>
      <c r="K550" s="4"/>
      <c r="L550" s="4"/>
      <c r="M550" s="4"/>
    </row>
    <row r="551" ht="12.75" customHeight="1">
      <c r="F551" s="4"/>
      <c r="G551" s="4"/>
      <c r="H551" s="4"/>
      <c r="I551" s="4"/>
      <c r="J551" s="4"/>
      <c r="K551" s="4"/>
      <c r="L551" s="4"/>
      <c r="M551" s="4"/>
    </row>
    <row r="552" ht="12.75" customHeight="1">
      <c r="F552" s="4"/>
      <c r="G552" s="4"/>
      <c r="H552" s="4"/>
      <c r="I552" s="4"/>
      <c r="J552" s="4"/>
      <c r="K552" s="4"/>
      <c r="L552" s="4"/>
      <c r="M552" s="4"/>
    </row>
    <row r="553" ht="12.75" customHeight="1">
      <c r="F553" s="4"/>
      <c r="G553" s="4"/>
      <c r="H553" s="4"/>
      <c r="I553" s="4"/>
      <c r="J553" s="4"/>
      <c r="K553" s="4"/>
      <c r="L553" s="4"/>
      <c r="M553" s="4"/>
    </row>
    <row r="554" ht="12.75" customHeight="1">
      <c r="F554" s="4"/>
      <c r="G554" s="4"/>
      <c r="H554" s="4"/>
      <c r="I554" s="4"/>
      <c r="J554" s="4"/>
      <c r="K554" s="4"/>
      <c r="L554" s="4"/>
      <c r="M554" s="4"/>
    </row>
    <row r="555" ht="12.75" customHeight="1">
      <c r="F555" s="4"/>
      <c r="G555" s="4"/>
      <c r="H555" s="4"/>
      <c r="I555" s="4"/>
      <c r="J555" s="4"/>
      <c r="K555" s="4"/>
      <c r="L555" s="4"/>
      <c r="M555" s="4"/>
    </row>
    <row r="556" ht="12.75" customHeight="1">
      <c r="F556" s="4"/>
      <c r="G556" s="4"/>
      <c r="H556" s="4"/>
      <c r="I556" s="4"/>
      <c r="J556" s="4"/>
      <c r="K556" s="4"/>
      <c r="L556" s="4"/>
      <c r="M556" s="4"/>
    </row>
    <row r="557" ht="12.75" customHeight="1">
      <c r="F557" s="4"/>
      <c r="G557" s="4"/>
      <c r="H557" s="4"/>
      <c r="I557" s="4"/>
      <c r="J557" s="4"/>
      <c r="K557" s="4"/>
      <c r="L557" s="4"/>
      <c r="M557" s="4"/>
    </row>
    <row r="558" ht="12.75" customHeight="1">
      <c r="F558" s="4"/>
      <c r="G558" s="4"/>
      <c r="H558" s="4"/>
      <c r="I558" s="4"/>
      <c r="J558" s="4"/>
      <c r="K558" s="4"/>
      <c r="L558" s="4"/>
      <c r="M558" s="4"/>
    </row>
    <row r="559" ht="12.75" customHeight="1">
      <c r="F559" s="4"/>
      <c r="G559" s="4"/>
      <c r="H559" s="4"/>
      <c r="I559" s="4"/>
      <c r="J559" s="4"/>
      <c r="K559" s="4"/>
      <c r="L559" s="4"/>
      <c r="M559" s="4"/>
    </row>
    <row r="560" ht="12.75" customHeight="1">
      <c r="F560" s="4"/>
      <c r="G560" s="4"/>
      <c r="H560" s="4"/>
      <c r="I560" s="4"/>
      <c r="J560" s="4"/>
      <c r="K560" s="4"/>
      <c r="L560" s="4"/>
      <c r="M560" s="4"/>
    </row>
    <row r="561" ht="12.75" customHeight="1">
      <c r="F561" s="4"/>
      <c r="G561" s="4"/>
      <c r="H561" s="4"/>
      <c r="I561" s="4"/>
      <c r="J561" s="4"/>
      <c r="K561" s="4"/>
      <c r="L561" s="4"/>
      <c r="M561" s="4"/>
    </row>
    <row r="562" ht="12.75" customHeight="1">
      <c r="F562" s="4"/>
      <c r="G562" s="4"/>
      <c r="H562" s="4"/>
      <c r="I562" s="4"/>
      <c r="J562" s="4"/>
      <c r="K562" s="4"/>
      <c r="L562" s="4"/>
      <c r="M562" s="4"/>
    </row>
    <row r="563" ht="12.75" customHeight="1">
      <c r="F563" s="4"/>
      <c r="G563" s="4"/>
      <c r="H563" s="4"/>
      <c r="I563" s="4"/>
      <c r="J563" s="4"/>
      <c r="K563" s="4"/>
      <c r="L563" s="4"/>
      <c r="M563" s="4"/>
    </row>
    <row r="564" ht="12.75" customHeight="1">
      <c r="F564" s="4"/>
      <c r="G564" s="4"/>
      <c r="H564" s="4"/>
      <c r="I564" s="4"/>
      <c r="J564" s="4"/>
      <c r="K564" s="4"/>
      <c r="L564" s="4"/>
      <c r="M564" s="4"/>
    </row>
    <row r="565" ht="12.75" customHeight="1">
      <c r="F565" s="4"/>
      <c r="G565" s="4"/>
      <c r="H565" s="4"/>
      <c r="I565" s="4"/>
      <c r="J565" s="4"/>
      <c r="K565" s="4"/>
      <c r="L565" s="4"/>
      <c r="M565" s="4"/>
    </row>
    <row r="566" ht="12.75" customHeight="1">
      <c r="F566" s="4"/>
      <c r="G566" s="4"/>
      <c r="H566" s="4"/>
      <c r="I566" s="4"/>
      <c r="J566" s="4"/>
      <c r="K566" s="4"/>
      <c r="L566" s="4"/>
      <c r="M566" s="4"/>
    </row>
    <row r="567" ht="12.75" customHeight="1">
      <c r="F567" s="4"/>
      <c r="G567" s="4"/>
      <c r="H567" s="4"/>
      <c r="I567" s="4"/>
      <c r="J567" s="4"/>
      <c r="K567" s="4"/>
      <c r="L567" s="4"/>
      <c r="M567" s="4"/>
    </row>
    <row r="568" ht="12.75" customHeight="1">
      <c r="F568" s="4"/>
      <c r="G568" s="4"/>
      <c r="H568" s="4"/>
      <c r="I568" s="4"/>
      <c r="J568" s="4"/>
      <c r="K568" s="4"/>
      <c r="L568" s="4"/>
      <c r="M568" s="4"/>
    </row>
    <row r="569" ht="12.75" customHeight="1">
      <c r="F569" s="4"/>
      <c r="G569" s="4"/>
      <c r="H569" s="4"/>
      <c r="I569" s="4"/>
      <c r="J569" s="4"/>
      <c r="K569" s="4"/>
      <c r="L569" s="4"/>
      <c r="M569" s="4"/>
    </row>
    <row r="570" ht="12.75" customHeight="1">
      <c r="F570" s="4"/>
      <c r="G570" s="4"/>
      <c r="H570" s="4"/>
      <c r="I570" s="4"/>
      <c r="J570" s="4"/>
      <c r="K570" s="4"/>
      <c r="L570" s="4"/>
      <c r="M570" s="4"/>
    </row>
    <row r="571" ht="12.75" customHeight="1">
      <c r="F571" s="4"/>
      <c r="G571" s="4"/>
      <c r="H571" s="4"/>
      <c r="I571" s="4"/>
      <c r="J571" s="4"/>
      <c r="K571" s="4"/>
      <c r="L571" s="4"/>
      <c r="M571" s="4"/>
    </row>
    <row r="572" ht="12.75" customHeight="1">
      <c r="F572" s="4"/>
      <c r="G572" s="4"/>
      <c r="H572" s="4"/>
      <c r="I572" s="4"/>
      <c r="J572" s="4"/>
      <c r="K572" s="4"/>
      <c r="L572" s="4"/>
      <c r="M572" s="4"/>
    </row>
    <row r="573" ht="12.75" customHeight="1">
      <c r="F573" s="4"/>
      <c r="G573" s="4"/>
      <c r="H573" s="4"/>
      <c r="I573" s="4"/>
      <c r="J573" s="4"/>
      <c r="K573" s="4"/>
      <c r="L573" s="4"/>
      <c r="M573" s="4"/>
    </row>
    <row r="574" ht="12.75" customHeight="1">
      <c r="F574" s="4"/>
      <c r="G574" s="4"/>
      <c r="H574" s="4"/>
      <c r="I574" s="4"/>
      <c r="J574" s="4"/>
      <c r="K574" s="4"/>
      <c r="L574" s="4"/>
      <c r="M574" s="4"/>
    </row>
    <row r="575" ht="12.75" customHeight="1">
      <c r="F575" s="4"/>
      <c r="G575" s="4"/>
      <c r="H575" s="4"/>
      <c r="I575" s="4"/>
      <c r="J575" s="4"/>
      <c r="K575" s="4"/>
      <c r="L575" s="4"/>
      <c r="M575" s="4"/>
    </row>
    <row r="576" ht="12.75" customHeight="1">
      <c r="F576" s="4"/>
      <c r="G576" s="4"/>
      <c r="H576" s="4"/>
      <c r="I576" s="4"/>
      <c r="J576" s="4"/>
      <c r="K576" s="4"/>
      <c r="L576" s="4"/>
      <c r="M576" s="4"/>
    </row>
    <row r="577" ht="12.75" customHeight="1">
      <c r="F577" s="4"/>
      <c r="G577" s="4"/>
      <c r="H577" s="4"/>
      <c r="I577" s="4"/>
      <c r="J577" s="4"/>
      <c r="K577" s="4"/>
      <c r="L577" s="4"/>
      <c r="M577" s="4"/>
    </row>
    <row r="578" ht="12.75" customHeight="1">
      <c r="F578" s="4"/>
      <c r="G578" s="4"/>
      <c r="H578" s="4"/>
      <c r="I578" s="4"/>
      <c r="J578" s="4"/>
      <c r="K578" s="4"/>
      <c r="L578" s="4"/>
      <c r="M578" s="4"/>
    </row>
    <row r="579" ht="12.75" customHeight="1">
      <c r="F579" s="4"/>
      <c r="G579" s="4"/>
      <c r="H579" s="4"/>
      <c r="I579" s="4"/>
      <c r="J579" s="4"/>
      <c r="K579" s="4"/>
      <c r="L579" s="4"/>
      <c r="M579" s="4"/>
    </row>
    <row r="580" ht="12.75" customHeight="1">
      <c r="F580" s="4"/>
      <c r="G580" s="4"/>
      <c r="H580" s="4"/>
      <c r="I580" s="4"/>
      <c r="J580" s="4"/>
      <c r="K580" s="4"/>
      <c r="L580" s="4"/>
      <c r="M580" s="4"/>
    </row>
    <row r="581" ht="12.75" customHeight="1">
      <c r="F581" s="4"/>
      <c r="G581" s="4"/>
      <c r="H581" s="4"/>
      <c r="I581" s="4"/>
      <c r="J581" s="4"/>
      <c r="K581" s="4"/>
      <c r="L581" s="4"/>
      <c r="M581" s="4"/>
    </row>
    <row r="582" ht="12.75" customHeight="1">
      <c r="F582" s="4"/>
      <c r="G582" s="4"/>
      <c r="H582" s="4"/>
      <c r="I582" s="4"/>
      <c r="J582" s="4"/>
      <c r="K582" s="4"/>
      <c r="L582" s="4"/>
      <c r="M582" s="4"/>
    </row>
    <row r="583" ht="12.75" customHeight="1">
      <c r="F583" s="4"/>
      <c r="G583" s="4"/>
      <c r="H583" s="4"/>
      <c r="I583" s="4"/>
      <c r="J583" s="4"/>
      <c r="K583" s="4"/>
      <c r="L583" s="4"/>
      <c r="M583" s="4"/>
    </row>
    <row r="584" ht="12.75" customHeight="1">
      <c r="F584" s="4"/>
      <c r="G584" s="4"/>
      <c r="H584" s="4"/>
      <c r="I584" s="4"/>
      <c r="J584" s="4"/>
      <c r="K584" s="4"/>
      <c r="L584" s="4"/>
      <c r="M584" s="4"/>
    </row>
    <row r="585" ht="12.75" customHeight="1">
      <c r="F585" s="4"/>
      <c r="G585" s="4"/>
      <c r="H585" s="4"/>
      <c r="I585" s="4"/>
      <c r="J585" s="4"/>
      <c r="K585" s="4"/>
      <c r="L585" s="4"/>
      <c r="M585" s="4"/>
    </row>
    <row r="586" ht="12.75" customHeight="1">
      <c r="F586" s="4"/>
      <c r="G586" s="4"/>
      <c r="H586" s="4"/>
      <c r="I586" s="4"/>
      <c r="J586" s="4"/>
      <c r="K586" s="4"/>
      <c r="L586" s="4"/>
      <c r="M586" s="4"/>
    </row>
    <row r="587" ht="12.75" customHeight="1">
      <c r="F587" s="4"/>
      <c r="G587" s="4"/>
      <c r="H587" s="4"/>
      <c r="I587" s="4"/>
      <c r="J587" s="4"/>
      <c r="K587" s="4"/>
      <c r="L587" s="4"/>
      <c r="M587" s="4"/>
    </row>
    <row r="588" ht="12.75" customHeight="1">
      <c r="F588" s="4"/>
      <c r="G588" s="4"/>
      <c r="H588" s="4"/>
      <c r="I588" s="4"/>
      <c r="J588" s="4"/>
      <c r="K588" s="4"/>
      <c r="L588" s="4"/>
      <c r="M588" s="4"/>
    </row>
    <row r="589" ht="12.75" customHeight="1">
      <c r="F589" s="4"/>
      <c r="G589" s="4"/>
      <c r="H589" s="4"/>
      <c r="I589" s="4"/>
      <c r="J589" s="4"/>
      <c r="K589" s="4"/>
      <c r="L589" s="4"/>
      <c r="M589" s="4"/>
    </row>
    <row r="590" ht="12.75" customHeight="1">
      <c r="F590" s="4"/>
      <c r="G590" s="4"/>
      <c r="H590" s="4"/>
      <c r="I590" s="4"/>
      <c r="J590" s="4"/>
      <c r="K590" s="4"/>
      <c r="L590" s="4"/>
      <c r="M590" s="4"/>
    </row>
    <row r="591" ht="12.75" customHeight="1">
      <c r="F591" s="4"/>
      <c r="G591" s="4"/>
      <c r="H591" s="4"/>
      <c r="I591" s="4"/>
      <c r="J591" s="4"/>
      <c r="K591" s="4"/>
      <c r="L591" s="4"/>
      <c r="M591" s="4"/>
    </row>
    <row r="592" ht="12.75" customHeight="1">
      <c r="F592" s="4"/>
      <c r="G592" s="4"/>
      <c r="H592" s="4"/>
      <c r="I592" s="4"/>
      <c r="J592" s="4"/>
      <c r="K592" s="4"/>
      <c r="L592" s="4"/>
      <c r="M592" s="4"/>
    </row>
    <row r="593" ht="12.75" customHeight="1">
      <c r="F593" s="4"/>
      <c r="G593" s="4"/>
      <c r="H593" s="4"/>
      <c r="I593" s="4"/>
      <c r="J593" s="4"/>
      <c r="K593" s="4"/>
      <c r="L593" s="4"/>
      <c r="M593" s="4"/>
    </row>
    <row r="594" ht="12.75" customHeight="1">
      <c r="F594" s="4"/>
      <c r="G594" s="4"/>
      <c r="H594" s="4"/>
      <c r="I594" s="4"/>
      <c r="J594" s="4"/>
      <c r="K594" s="4"/>
      <c r="L594" s="4"/>
      <c r="M594" s="4"/>
    </row>
    <row r="595" ht="12.75" customHeight="1">
      <c r="F595" s="4"/>
      <c r="G595" s="4"/>
      <c r="H595" s="4"/>
      <c r="I595" s="4"/>
      <c r="J595" s="4"/>
      <c r="K595" s="4"/>
      <c r="L595" s="4"/>
      <c r="M595" s="4"/>
    </row>
    <row r="596" ht="12.75" customHeight="1">
      <c r="F596" s="4"/>
      <c r="G596" s="4"/>
      <c r="H596" s="4"/>
      <c r="I596" s="4"/>
      <c r="J596" s="4"/>
      <c r="K596" s="4"/>
      <c r="L596" s="4"/>
      <c r="M596" s="4"/>
    </row>
    <row r="597" ht="12.75" customHeight="1">
      <c r="F597" s="4"/>
      <c r="G597" s="4"/>
      <c r="H597" s="4"/>
      <c r="I597" s="4"/>
      <c r="J597" s="4"/>
      <c r="K597" s="4"/>
      <c r="L597" s="4"/>
      <c r="M597" s="4"/>
    </row>
    <row r="598" ht="12.75" customHeight="1">
      <c r="F598" s="4"/>
      <c r="G598" s="4"/>
      <c r="H598" s="4"/>
      <c r="I598" s="4"/>
      <c r="J598" s="4"/>
      <c r="K598" s="4"/>
      <c r="L598" s="4"/>
      <c r="M598" s="4"/>
    </row>
    <row r="599" ht="12.75" customHeight="1">
      <c r="F599" s="4"/>
      <c r="G599" s="4"/>
      <c r="H599" s="4"/>
      <c r="I599" s="4"/>
      <c r="J599" s="4"/>
      <c r="K599" s="4"/>
      <c r="L599" s="4"/>
      <c r="M599" s="4"/>
    </row>
    <row r="600" ht="12.75" customHeight="1">
      <c r="F600" s="4"/>
      <c r="G600" s="4"/>
      <c r="H600" s="4"/>
      <c r="I600" s="4"/>
      <c r="J600" s="4"/>
      <c r="K600" s="4"/>
      <c r="L600" s="4"/>
      <c r="M600" s="4"/>
    </row>
    <row r="601" ht="12.75" customHeight="1">
      <c r="F601" s="4"/>
      <c r="G601" s="4"/>
      <c r="H601" s="4"/>
      <c r="I601" s="4"/>
      <c r="J601" s="4"/>
      <c r="K601" s="4"/>
      <c r="L601" s="4"/>
      <c r="M601" s="4"/>
    </row>
    <row r="602" ht="12.75" customHeight="1">
      <c r="F602" s="4"/>
      <c r="G602" s="4"/>
      <c r="H602" s="4"/>
      <c r="I602" s="4"/>
      <c r="J602" s="4"/>
      <c r="K602" s="4"/>
      <c r="L602" s="4"/>
      <c r="M602" s="4"/>
    </row>
    <row r="603" ht="12.75" customHeight="1">
      <c r="F603" s="4"/>
      <c r="G603" s="4"/>
      <c r="H603" s="4"/>
      <c r="I603" s="4"/>
      <c r="J603" s="4"/>
      <c r="K603" s="4"/>
      <c r="L603" s="4"/>
      <c r="M603" s="4"/>
    </row>
    <row r="604" ht="12.75" customHeight="1">
      <c r="F604" s="4"/>
      <c r="G604" s="4"/>
      <c r="H604" s="4"/>
      <c r="I604" s="4"/>
      <c r="J604" s="4"/>
      <c r="K604" s="4"/>
      <c r="L604" s="4"/>
      <c r="M604" s="4"/>
    </row>
    <row r="605" ht="12.75" customHeight="1">
      <c r="F605" s="4"/>
      <c r="G605" s="4"/>
      <c r="H605" s="4"/>
      <c r="I605" s="4"/>
      <c r="J605" s="4"/>
      <c r="K605" s="4"/>
      <c r="L605" s="4"/>
      <c r="M605" s="4"/>
    </row>
    <row r="606" ht="12.75" customHeight="1">
      <c r="F606" s="4"/>
      <c r="G606" s="4"/>
      <c r="H606" s="4"/>
      <c r="I606" s="4"/>
      <c r="J606" s="4"/>
      <c r="K606" s="4"/>
      <c r="L606" s="4"/>
      <c r="M606" s="4"/>
    </row>
    <row r="607" ht="12.75" customHeight="1">
      <c r="F607" s="4"/>
      <c r="G607" s="4"/>
      <c r="H607" s="4"/>
      <c r="I607" s="4"/>
      <c r="J607" s="4"/>
      <c r="K607" s="4"/>
      <c r="L607" s="4"/>
      <c r="M607" s="4"/>
    </row>
    <row r="608" ht="12.75" customHeight="1">
      <c r="F608" s="4"/>
      <c r="G608" s="4"/>
      <c r="H608" s="4"/>
      <c r="I608" s="4"/>
      <c r="J608" s="4"/>
      <c r="K608" s="4"/>
      <c r="L608" s="4"/>
      <c r="M608" s="4"/>
    </row>
    <row r="609" ht="12.75" customHeight="1">
      <c r="F609" s="4"/>
      <c r="G609" s="4"/>
      <c r="H609" s="4"/>
      <c r="I609" s="4"/>
      <c r="J609" s="4"/>
      <c r="K609" s="4"/>
      <c r="L609" s="4"/>
      <c r="M609" s="4"/>
    </row>
    <row r="610" ht="12.75" customHeight="1">
      <c r="F610" s="4"/>
      <c r="G610" s="4"/>
      <c r="H610" s="4"/>
      <c r="I610" s="4"/>
      <c r="J610" s="4"/>
      <c r="K610" s="4"/>
      <c r="L610" s="4"/>
      <c r="M610" s="4"/>
    </row>
    <row r="611" ht="12.75" customHeight="1">
      <c r="F611" s="4"/>
      <c r="G611" s="4"/>
      <c r="H611" s="4"/>
      <c r="I611" s="4"/>
      <c r="J611" s="4"/>
      <c r="K611" s="4"/>
      <c r="L611" s="4"/>
      <c r="M611" s="4"/>
    </row>
    <row r="612" ht="12.75" customHeight="1">
      <c r="F612" s="4"/>
      <c r="G612" s="4"/>
      <c r="H612" s="4"/>
      <c r="I612" s="4"/>
      <c r="J612" s="4"/>
      <c r="K612" s="4"/>
      <c r="L612" s="4"/>
      <c r="M612" s="4"/>
    </row>
    <row r="613" ht="12.75" customHeight="1">
      <c r="F613" s="4"/>
      <c r="G613" s="4"/>
      <c r="H613" s="4"/>
      <c r="I613" s="4"/>
      <c r="J613" s="4"/>
      <c r="K613" s="4"/>
      <c r="L613" s="4"/>
      <c r="M613" s="4"/>
    </row>
    <row r="614" ht="12.75" customHeight="1">
      <c r="F614" s="4"/>
      <c r="G614" s="4"/>
      <c r="H614" s="4"/>
      <c r="I614" s="4"/>
      <c r="J614" s="4"/>
      <c r="K614" s="4"/>
      <c r="L614" s="4"/>
      <c r="M614" s="4"/>
    </row>
    <row r="615" ht="12.75" customHeight="1">
      <c r="F615" s="4"/>
      <c r="G615" s="4"/>
      <c r="H615" s="4"/>
      <c r="I615" s="4"/>
      <c r="J615" s="4"/>
      <c r="K615" s="4"/>
      <c r="L615" s="4"/>
      <c r="M615" s="4"/>
    </row>
    <row r="616" ht="12.75" customHeight="1">
      <c r="F616" s="4"/>
      <c r="G616" s="4"/>
      <c r="H616" s="4"/>
      <c r="I616" s="4"/>
      <c r="J616" s="4"/>
      <c r="K616" s="4"/>
      <c r="L616" s="4"/>
      <c r="M616" s="4"/>
    </row>
    <row r="617" ht="12.75" customHeight="1">
      <c r="F617" s="4"/>
      <c r="G617" s="4"/>
      <c r="H617" s="4"/>
      <c r="I617" s="4"/>
      <c r="J617" s="4"/>
      <c r="K617" s="4"/>
      <c r="L617" s="4"/>
      <c r="M617" s="4"/>
    </row>
    <row r="618" ht="12.75" customHeight="1">
      <c r="F618" s="4"/>
      <c r="G618" s="4"/>
      <c r="H618" s="4"/>
      <c r="I618" s="4"/>
      <c r="J618" s="4"/>
      <c r="K618" s="4"/>
      <c r="L618" s="4"/>
      <c r="M618" s="4"/>
    </row>
    <row r="619" ht="12.75" customHeight="1">
      <c r="F619" s="4"/>
      <c r="G619" s="4"/>
      <c r="H619" s="4"/>
      <c r="I619" s="4"/>
      <c r="J619" s="4"/>
      <c r="K619" s="4"/>
      <c r="L619" s="4"/>
      <c r="M619" s="4"/>
    </row>
    <row r="620" ht="12.75" customHeight="1">
      <c r="F620" s="4"/>
      <c r="G620" s="4"/>
      <c r="H620" s="4"/>
      <c r="I620" s="4"/>
      <c r="J620" s="4"/>
      <c r="K620" s="4"/>
      <c r="L620" s="4"/>
      <c r="M620" s="4"/>
    </row>
    <row r="621" ht="12.75" customHeight="1">
      <c r="F621" s="4"/>
      <c r="G621" s="4"/>
      <c r="H621" s="4"/>
      <c r="I621" s="4"/>
      <c r="J621" s="4"/>
      <c r="K621" s="4"/>
      <c r="L621" s="4"/>
      <c r="M621" s="4"/>
    </row>
    <row r="622" ht="12.75" customHeight="1">
      <c r="F622" s="4"/>
      <c r="G622" s="4"/>
      <c r="H622" s="4"/>
      <c r="I622" s="4"/>
      <c r="J622" s="4"/>
      <c r="K622" s="4"/>
      <c r="L622" s="4"/>
      <c r="M622" s="4"/>
    </row>
    <row r="623" ht="12.75" customHeight="1">
      <c r="F623" s="4"/>
      <c r="G623" s="4"/>
      <c r="H623" s="4"/>
      <c r="I623" s="4"/>
      <c r="J623" s="4"/>
      <c r="K623" s="4"/>
      <c r="L623" s="4"/>
      <c r="M623" s="4"/>
    </row>
    <row r="624" ht="12.75" customHeight="1">
      <c r="F624" s="4"/>
      <c r="G624" s="4"/>
      <c r="H624" s="4"/>
      <c r="I624" s="4"/>
      <c r="J624" s="4"/>
      <c r="K624" s="4"/>
      <c r="L624" s="4"/>
      <c r="M624" s="4"/>
    </row>
    <row r="625" ht="12.75" customHeight="1">
      <c r="F625" s="4"/>
      <c r="G625" s="4"/>
      <c r="H625" s="4"/>
      <c r="I625" s="4"/>
      <c r="J625" s="4"/>
      <c r="K625" s="4"/>
      <c r="L625" s="4"/>
      <c r="M625" s="4"/>
    </row>
    <row r="626" ht="12.75" customHeight="1">
      <c r="F626" s="4"/>
      <c r="G626" s="4"/>
      <c r="H626" s="4"/>
      <c r="I626" s="4"/>
      <c r="J626" s="4"/>
      <c r="K626" s="4"/>
      <c r="L626" s="4"/>
      <c r="M626" s="4"/>
    </row>
    <row r="627" ht="12.75" customHeight="1">
      <c r="F627" s="4"/>
      <c r="G627" s="4"/>
      <c r="H627" s="4"/>
      <c r="I627" s="4"/>
      <c r="J627" s="4"/>
      <c r="K627" s="4"/>
      <c r="L627" s="4"/>
      <c r="M627" s="4"/>
    </row>
    <row r="628" ht="12.75" customHeight="1">
      <c r="F628" s="4"/>
      <c r="G628" s="4"/>
      <c r="H628" s="4"/>
      <c r="I628" s="4"/>
      <c r="J628" s="4"/>
      <c r="K628" s="4"/>
      <c r="L628" s="4"/>
      <c r="M628" s="4"/>
    </row>
    <row r="629" ht="12.75" customHeight="1">
      <c r="F629" s="4"/>
      <c r="G629" s="4"/>
      <c r="H629" s="4"/>
      <c r="I629" s="4"/>
      <c r="J629" s="4"/>
      <c r="K629" s="4"/>
      <c r="L629" s="4"/>
      <c r="M629" s="4"/>
    </row>
    <row r="630" ht="12.75" customHeight="1">
      <c r="F630" s="4"/>
      <c r="G630" s="4"/>
      <c r="H630" s="4"/>
      <c r="I630" s="4"/>
      <c r="J630" s="4"/>
      <c r="K630" s="4"/>
      <c r="L630" s="4"/>
      <c r="M630" s="4"/>
    </row>
    <row r="631" ht="12.75" customHeight="1">
      <c r="F631" s="4"/>
      <c r="G631" s="4"/>
      <c r="H631" s="4"/>
      <c r="I631" s="4"/>
      <c r="J631" s="4"/>
      <c r="K631" s="4"/>
      <c r="L631" s="4"/>
      <c r="M631" s="4"/>
    </row>
    <row r="632" ht="12.75" customHeight="1">
      <c r="F632" s="4"/>
      <c r="G632" s="4"/>
      <c r="H632" s="4"/>
      <c r="I632" s="4"/>
      <c r="J632" s="4"/>
      <c r="K632" s="4"/>
      <c r="L632" s="4"/>
      <c r="M632" s="4"/>
    </row>
    <row r="633" ht="12.75" customHeight="1">
      <c r="F633" s="4"/>
      <c r="G633" s="4"/>
      <c r="H633" s="4"/>
      <c r="I633" s="4"/>
      <c r="J633" s="4"/>
      <c r="K633" s="4"/>
      <c r="L633" s="4"/>
      <c r="M633" s="4"/>
    </row>
    <row r="634" ht="12.75" customHeight="1">
      <c r="F634" s="4"/>
      <c r="G634" s="4"/>
      <c r="H634" s="4"/>
      <c r="I634" s="4"/>
      <c r="J634" s="4"/>
      <c r="K634" s="4"/>
      <c r="L634" s="4"/>
      <c r="M634" s="4"/>
    </row>
    <row r="635" ht="12.75" customHeight="1">
      <c r="F635" s="4"/>
      <c r="G635" s="4"/>
      <c r="H635" s="4"/>
      <c r="I635" s="4"/>
      <c r="J635" s="4"/>
      <c r="K635" s="4"/>
      <c r="L635" s="4"/>
      <c r="M635" s="4"/>
    </row>
    <row r="636" ht="12.75" customHeight="1">
      <c r="F636" s="4"/>
      <c r="G636" s="4"/>
      <c r="H636" s="4"/>
      <c r="I636" s="4"/>
      <c r="J636" s="4"/>
      <c r="K636" s="4"/>
      <c r="L636" s="4"/>
      <c r="M636" s="4"/>
    </row>
    <row r="637" ht="12.75" customHeight="1">
      <c r="F637" s="4"/>
      <c r="G637" s="4"/>
      <c r="H637" s="4"/>
      <c r="I637" s="4"/>
      <c r="J637" s="4"/>
      <c r="K637" s="4"/>
      <c r="L637" s="4"/>
      <c r="M637" s="4"/>
    </row>
    <row r="638" ht="12.75" customHeight="1">
      <c r="F638" s="4"/>
      <c r="G638" s="4"/>
      <c r="H638" s="4"/>
      <c r="I638" s="4"/>
      <c r="J638" s="4"/>
      <c r="K638" s="4"/>
      <c r="L638" s="4"/>
      <c r="M638" s="4"/>
    </row>
    <row r="639" ht="12.75" customHeight="1">
      <c r="F639" s="4"/>
      <c r="G639" s="4"/>
      <c r="H639" s="4"/>
      <c r="I639" s="4"/>
      <c r="J639" s="4"/>
      <c r="K639" s="4"/>
      <c r="L639" s="4"/>
      <c r="M639" s="4"/>
    </row>
    <row r="640" ht="12.75" customHeight="1">
      <c r="F640" s="4"/>
      <c r="G640" s="4"/>
      <c r="H640" s="4"/>
      <c r="I640" s="4"/>
      <c r="J640" s="4"/>
      <c r="K640" s="4"/>
      <c r="L640" s="4"/>
      <c r="M640" s="4"/>
    </row>
    <row r="641" ht="12.75" customHeight="1">
      <c r="F641" s="4"/>
      <c r="G641" s="4"/>
      <c r="H641" s="4"/>
      <c r="I641" s="4"/>
      <c r="J641" s="4"/>
      <c r="K641" s="4"/>
      <c r="L641" s="4"/>
      <c r="M641" s="4"/>
    </row>
    <row r="642" ht="12.75" customHeight="1">
      <c r="F642" s="4"/>
      <c r="G642" s="4"/>
      <c r="H642" s="4"/>
      <c r="I642" s="4"/>
      <c r="J642" s="4"/>
      <c r="K642" s="4"/>
      <c r="L642" s="4"/>
      <c r="M642" s="4"/>
    </row>
    <row r="643" ht="12.75" customHeight="1">
      <c r="F643" s="4"/>
      <c r="G643" s="4"/>
      <c r="H643" s="4"/>
      <c r="I643" s="4"/>
      <c r="J643" s="4"/>
      <c r="K643" s="4"/>
      <c r="L643" s="4"/>
      <c r="M643" s="4"/>
    </row>
    <row r="644" ht="12.75" customHeight="1">
      <c r="F644" s="4"/>
      <c r="G644" s="4"/>
      <c r="H644" s="4"/>
      <c r="I644" s="4"/>
      <c r="J644" s="4"/>
      <c r="K644" s="4"/>
      <c r="L644" s="4"/>
      <c r="M644" s="4"/>
    </row>
    <row r="645" ht="12.75" customHeight="1">
      <c r="F645" s="4"/>
      <c r="G645" s="4"/>
      <c r="H645" s="4"/>
      <c r="I645" s="4"/>
      <c r="J645" s="4"/>
      <c r="K645" s="4"/>
      <c r="L645" s="4"/>
      <c r="M645" s="4"/>
    </row>
    <row r="646" ht="12.75" customHeight="1">
      <c r="F646" s="4"/>
      <c r="G646" s="4"/>
      <c r="H646" s="4"/>
      <c r="I646" s="4"/>
      <c r="J646" s="4"/>
      <c r="K646" s="4"/>
      <c r="L646" s="4"/>
      <c r="M646" s="4"/>
    </row>
    <row r="647" ht="12.75" customHeight="1">
      <c r="F647" s="4"/>
      <c r="G647" s="4"/>
      <c r="H647" s="4"/>
      <c r="I647" s="4"/>
      <c r="J647" s="4"/>
      <c r="K647" s="4"/>
      <c r="L647" s="4"/>
      <c r="M647" s="4"/>
    </row>
    <row r="648" ht="12.75" customHeight="1">
      <c r="F648" s="4"/>
      <c r="G648" s="4"/>
      <c r="H648" s="4"/>
      <c r="I648" s="4"/>
      <c r="J648" s="4"/>
      <c r="K648" s="4"/>
      <c r="L648" s="4"/>
      <c r="M648" s="4"/>
    </row>
    <row r="649" ht="12.75" customHeight="1">
      <c r="F649" s="4"/>
      <c r="G649" s="4"/>
      <c r="H649" s="4"/>
      <c r="I649" s="4"/>
      <c r="J649" s="4"/>
      <c r="K649" s="4"/>
      <c r="L649" s="4"/>
      <c r="M649" s="4"/>
    </row>
    <row r="650" ht="12.75" customHeight="1">
      <c r="F650" s="4"/>
      <c r="G650" s="4"/>
      <c r="H650" s="4"/>
      <c r="I650" s="4"/>
      <c r="J650" s="4"/>
      <c r="K650" s="4"/>
      <c r="L650" s="4"/>
      <c r="M650" s="4"/>
    </row>
    <row r="651" ht="12.75" customHeight="1">
      <c r="F651" s="4"/>
      <c r="G651" s="4"/>
      <c r="H651" s="4"/>
      <c r="I651" s="4"/>
      <c r="J651" s="4"/>
      <c r="K651" s="4"/>
      <c r="L651" s="4"/>
      <c r="M651" s="4"/>
    </row>
    <row r="652" ht="12.75" customHeight="1">
      <c r="F652" s="4"/>
      <c r="G652" s="4"/>
      <c r="H652" s="4"/>
      <c r="I652" s="4"/>
      <c r="J652" s="4"/>
      <c r="K652" s="4"/>
      <c r="L652" s="4"/>
      <c r="M652" s="4"/>
    </row>
    <row r="653" ht="12.75" customHeight="1">
      <c r="F653" s="4"/>
      <c r="G653" s="4"/>
      <c r="H653" s="4"/>
      <c r="I653" s="4"/>
      <c r="J653" s="4"/>
      <c r="K653" s="4"/>
      <c r="L653" s="4"/>
      <c r="M653" s="4"/>
    </row>
    <row r="654" ht="12.75" customHeight="1">
      <c r="F654" s="4"/>
      <c r="G654" s="4"/>
      <c r="H654" s="4"/>
      <c r="I654" s="4"/>
      <c r="J654" s="4"/>
      <c r="K654" s="4"/>
      <c r="L654" s="4"/>
      <c r="M654" s="4"/>
    </row>
    <row r="655" ht="12.75" customHeight="1">
      <c r="F655" s="4"/>
      <c r="G655" s="4"/>
      <c r="H655" s="4"/>
      <c r="I655" s="4"/>
      <c r="J655" s="4"/>
      <c r="K655" s="4"/>
      <c r="L655" s="4"/>
      <c r="M655" s="4"/>
    </row>
    <row r="656" ht="12.75" customHeight="1">
      <c r="F656" s="4"/>
      <c r="G656" s="4"/>
      <c r="H656" s="4"/>
      <c r="I656" s="4"/>
      <c r="J656" s="4"/>
      <c r="K656" s="4"/>
      <c r="L656" s="4"/>
      <c r="M656" s="4"/>
    </row>
    <row r="657" ht="12.75" customHeight="1">
      <c r="F657" s="4"/>
      <c r="G657" s="4"/>
      <c r="H657" s="4"/>
      <c r="I657" s="4"/>
      <c r="J657" s="4"/>
      <c r="K657" s="4"/>
      <c r="L657" s="4"/>
      <c r="M657" s="4"/>
    </row>
    <row r="658" ht="12.75" customHeight="1">
      <c r="F658" s="4"/>
      <c r="G658" s="4"/>
      <c r="H658" s="4"/>
      <c r="I658" s="4"/>
      <c r="J658" s="4"/>
      <c r="K658" s="4"/>
      <c r="L658" s="4"/>
      <c r="M658" s="4"/>
    </row>
    <row r="659" ht="12.75" customHeight="1">
      <c r="F659" s="4"/>
      <c r="G659" s="4"/>
      <c r="H659" s="4"/>
      <c r="I659" s="4"/>
      <c r="J659" s="4"/>
      <c r="K659" s="4"/>
      <c r="L659" s="4"/>
      <c r="M659" s="4"/>
    </row>
    <row r="660" ht="12.75" customHeight="1">
      <c r="F660" s="4"/>
      <c r="G660" s="4"/>
      <c r="H660" s="4"/>
      <c r="I660" s="4"/>
      <c r="J660" s="4"/>
      <c r="K660" s="4"/>
      <c r="L660" s="4"/>
      <c r="M660" s="4"/>
    </row>
    <row r="661" ht="12.75" customHeight="1">
      <c r="F661" s="4"/>
      <c r="G661" s="4"/>
      <c r="H661" s="4"/>
      <c r="I661" s="4"/>
      <c r="J661" s="4"/>
      <c r="K661" s="4"/>
      <c r="L661" s="4"/>
      <c r="M661" s="4"/>
    </row>
    <row r="662" ht="12.75" customHeight="1">
      <c r="F662" s="4"/>
      <c r="G662" s="4"/>
      <c r="H662" s="4"/>
      <c r="I662" s="4"/>
      <c r="J662" s="4"/>
      <c r="K662" s="4"/>
      <c r="L662" s="4"/>
      <c r="M662" s="4"/>
    </row>
    <row r="663" ht="12.75" customHeight="1">
      <c r="F663" s="4"/>
      <c r="G663" s="4"/>
      <c r="H663" s="4"/>
      <c r="I663" s="4"/>
      <c r="J663" s="4"/>
      <c r="K663" s="4"/>
      <c r="L663" s="4"/>
      <c r="M663" s="4"/>
    </row>
    <row r="664" ht="12.75" customHeight="1">
      <c r="F664" s="4"/>
      <c r="G664" s="4"/>
      <c r="H664" s="4"/>
      <c r="I664" s="4"/>
      <c r="J664" s="4"/>
      <c r="K664" s="4"/>
      <c r="L664" s="4"/>
      <c r="M664" s="4"/>
    </row>
    <row r="665" ht="12.75" customHeight="1">
      <c r="F665" s="4"/>
      <c r="G665" s="4"/>
      <c r="H665" s="4"/>
      <c r="I665" s="4"/>
      <c r="J665" s="4"/>
      <c r="K665" s="4"/>
      <c r="L665" s="4"/>
      <c r="M665" s="4"/>
    </row>
    <row r="666" ht="12.75" customHeight="1">
      <c r="F666" s="4"/>
      <c r="G666" s="4"/>
      <c r="H666" s="4"/>
      <c r="I666" s="4"/>
      <c r="J666" s="4"/>
      <c r="K666" s="4"/>
      <c r="L666" s="4"/>
      <c r="M666" s="4"/>
    </row>
    <row r="667" ht="12.75" customHeight="1">
      <c r="F667" s="4"/>
      <c r="G667" s="4"/>
      <c r="H667" s="4"/>
      <c r="I667" s="4"/>
      <c r="J667" s="4"/>
      <c r="K667" s="4"/>
      <c r="L667" s="4"/>
      <c r="M667" s="4"/>
    </row>
    <row r="668" ht="12.75" customHeight="1">
      <c r="F668" s="4"/>
      <c r="G668" s="4"/>
      <c r="H668" s="4"/>
      <c r="I668" s="4"/>
      <c r="J668" s="4"/>
      <c r="K668" s="4"/>
      <c r="L668" s="4"/>
      <c r="M668" s="4"/>
    </row>
    <row r="669" ht="12.75" customHeight="1">
      <c r="F669" s="4"/>
      <c r="G669" s="4"/>
      <c r="H669" s="4"/>
      <c r="I669" s="4"/>
      <c r="J669" s="4"/>
      <c r="K669" s="4"/>
      <c r="L669" s="4"/>
      <c r="M669" s="4"/>
    </row>
    <row r="670" ht="12.75" customHeight="1">
      <c r="F670" s="4"/>
      <c r="G670" s="4"/>
      <c r="H670" s="4"/>
      <c r="I670" s="4"/>
      <c r="J670" s="4"/>
      <c r="K670" s="4"/>
      <c r="L670" s="4"/>
      <c r="M670" s="4"/>
    </row>
    <row r="671" ht="12.75" customHeight="1">
      <c r="F671" s="4"/>
      <c r="G671" s="4"/>
      <c r="H671" s="4"/>
      <c r="I671" s="4"/>
      <c r="J671" s="4"/>
      <c r="K671" s="4"/>
      <c r="L671" s="4"/>
      <c r="M671" s="4"/>
    </row>
    <row r="672" ht="12.75" customHeight="1">
      <c r="F672" s="4"/>
      <c r="G672" s="4"/>
      <c r="H672" s="4"/>
      <c r="I672" s="4"/>
      <c r="J672" s="4"/>
      <c r="K672" s="4"/>
      <c r="L672" s="4"/>
      <c r="M672" s="4"/>
    </row>
    <row r="673" ht="12.75" customHeight="1">
      <c r="F673" s="4"/>
      <c r="G673" s="4"/>
      <c r="H673" s="4"/>
      <c r="I673" s="4"/>
      <c r="J673" s="4"/>
      <c r="K673" s="4"/>
      <c r="L673" s="4"/>
      <c r="M673" s="4"/>
    </row>
    <row r="674" ht="12.75" customHeight="1">
      <c r="F674" s="4"/>
      <c r="G674" s="4"/>
      <c r="H674" s="4"/>
      <c r="I674" s="4"/>
      <c r="J674" s="4"/>
      <c r="K674" s="4"/>
      <c r="L674" s="4"/>
      <c r="M674" s="4"/>
    </row>
    <row r="675" ht="12.75" customHeight="1">
      <c r="F675" s="4"/>
      <c r="G675" s="4"/>
      <c r="H675" s="4"/>
      <c r="I675" s="4"/>
      <c r="J675" s="4"/>
      <c r="K675" s="4"/>
      <c r="L675" s="4"/>
      <c r="M675" s="4"/>
    </row>
    <row r="676" ht="12.75" customHeight="1">
      <c r="F676" s="4"/>
      <c r="G676" s="4"/>
      <c r="H676" s="4"/>
      <c r="I676" s="4"/>
      <c r="J676" s="4"/>
      <c r="K676" s="4"/>
      <c r="L676" s="4"/>
      <c r="M676" s="4"/>
    </row>
    <row r="677" ht="12.75" customHeight="1">
      <c r="F677" s="4"/>
      <c r="G677" s="4"/>
      <c r="H677" s="4"/>
      <c r="I677" s="4"/>
      <c r="J677" s="4"/>
      <c r="K677" s="4"/>
      <c r="L677" s="4"/>
      <c r="M677" s="4"/>
    </row>
    <row r="678" ht="12.75" customHeight="1">
      <c r="F678" s="4"/>
      <c r="G678" s="4"/>
      <c r="H678" s="4"/>
      <c r="I678" s="4"/>
      <c r="J678" s="4"/>
      <c r="K678" s="4"/>
      <c r="L678" s="4"/>
      <c r="M678" s="4"/>
    </row>
    <row r="679" ht="12.75" customHeight="1">
      <c r="F679" s="4"/>
      <c r="G679" s="4"/>
      <c r="H679" s="4"/>
      <c r="I679" s="4"/>
      <c r="J679" s="4"/>
      <c r="K679" s="4"/>
      <c r="L679" s="4"/>
      <c r="M679" s="4"/>
    </row>
    <row r="680" ht="12.75" customHeight="1">
      <c r="F680" s="4"/>
      <c r="G680" s="4"/>
      <c r="H680" s="4"/>
      <c r="I680" s="4"/>
      <c r="J680" s="4"/>
      <c r="K680" s="4"/>
      <c r="L680" s="4"/>
      <c r="M680" s="4"/>
    </row>
    <row r="681" ht="12.75" customHeight="1">
      <c r="F681" s="4"/>
      <c r="G681" s="4"/>
      <c r="H681" s="4"/>
      <c r="I681" s="4"/>
      <c r="J681" s="4"/>
      <c r="K681" s="4"/>
      <c r="L681" s="4"/>
      <c r="M681" s="4"/>
    </row>
    <row r="682" ht="12.75" customHeight="1">
      <c r="F682" s="4"/>
      <c r="G682" s="4"/>
      <c r="H682" s="4"/>
      <c r="I682" s="4"/>
      <c r="J682" s="4"/>
      <c r="K682" s="4"/>
      <c r="L682" s="4"/>
      <c r="M682" s="4"/>
    </row>
    <row r="683" ht="12.75" customHeight="1">
      <c r="F683" s="4"/>
      <c r="G683" s="4"/>
      <c r="H683" s="4"/>
      <c r="I683" s="4"/>
      <c r="J683" s="4"/>
      <c r="K683" s="4"/>
      <c r="L683" s="4"/>
      <c r="M683" s="4"/>
    </row>
    <row r="684" ht="12.75" customHeight="1">
      <c r="F684" s="4"/>
      <c r="G684" s="4"/>
      <c r="H684" s="4"/>
      <c r="I684" s="4"/>
      <c r="J684" s="4"/>
      <c r="K684" s="4"/>
      <c r="L684" s="4"/>
      <c r="M684" s="4"/>
    </row>
    <row r="685" ht="12.75" customHeight="1">
      <c r="F685" s="4"/>
      <c r="G685" s="4"/>
      <c r="H685" s="4"/>
      <c r="I685" s="4"/>
      <c r="J685" s="4"/>
      <c r="K685" s="4"/>
      <c r="L685" s="4"/>
      <c r="M685" s="4"/>
    </row>
    <row r="686" ht="12.75" customHeight="1">
      <c r="F686" s="4"/>
      <c r="G686" s="4"/>
      <c r="H686" s="4"/>
      <c r="I686" s="4"/>
      <c r="J686" s="4"/>
      <c r="K686" s="4"/>
      <c r="L686" s="4"/>
      <c r="M686" s="4"/>
    </row>
    <row r="687" ht="12.75" customHeight="1">
      <c r="F687" s="4"/>
      <c r="G687" s="4"/>
      <c r="H687" s="4"/>
      <c r="I687" s="4"/>
      <c r="J687" s="4"/>
      <c r="K687" s="4"/>
      <c r="L687" s="4"/>
      <c r="M687" s="4"/>
    </row>
    <row r="688" ht="12.75" customHeight="1">
      <c r="F688" s="4"/>
      <c r="G688" s="4"/>
      <c r="H688" s="4"/>
      <c r="I688" s="4"/>
      <c r="J688" s="4"/>
      <c r="K688" s="4"/>
      <c r="L688" s="4"/>
      <c r="M688" s="4"/>
    </row>
    <row r="689" ht="12.75" customHeight="1">
      <c r="F689" s="4"/>
      <c r="G689" s="4"/>
      <c r="H689" s="4"/>
      <c r="I689" s="4"/>
      <c r="J689" s="4"/>
      <c r="K689" s="4"/>
      <c r="L689" s="4"/>
      <c r="M689" s="4"/>
    </row>
    <row r="690" ht="12.75" customHeight="1">
      <c r="F690" s="4"/>
      <c r="G690" s="4"/>
      <c r="H690" s="4"/>
      <c r="I690" s="4"/>
      <c r="J690" s="4"/>
      <c r="K690" s="4"/>
      <c r="L690" s="4"/>
      <c r="M690" s="4"/>
    </row>
    <row r="691" ht="12.75" customHeight="1">
      <c r="F691" s="4"/>
      <c r="G691" s="4"/>
      <c r="H691" s="4"/>
      <c r="I691" s="4"/>
      <c r="J691" s="4"/>
      <c r="K691" s="4"/>
      <c r="L691" s="4"/>
      <c r="M691" s="4"/>
    </row>
    <row r="692" ht="12.75" customHeight="1">
      <c r="F692" s="4"/>
      <c r="G692" s="4"/>
      <c r="H692" s="4"/>
      <c r="I692" s="4"/>
      <c r="J692" s="4"/>
      <c r="K692" s="4"/>
      <c r="L692" s="4"/>
      <c r="M692" s="4"/>
    </row>
    <row r="693" ht="12.75" customHeight="1">
      <c r="F693" s="4"/>
      <c r="G693" s="4"/>
      <c r="H693" s="4"/>
      <c r="I693" s="4"/>
      <c r="J693" s="4"/>
      <c r="K693" s="4"/>
      <c r="L693" s="4"/>
      <c r="M693" s="4"/>
    </row>
    <row r="694" ht="12.75" customHeight="1">
      <c r="F694" s="4"/>
      <c r="G694" s="4"/>
      <c r="H694" s="4"/>
      <c r="I694" s="4"/>
      <c r="J694" s="4"/>
      <c r="K694" s="4"/>
      <c r="L694" s="4"/>
      <c r="M694" s="4"/>
    </row>
    <row r="695" ht="12.75" customHeight="1">
      <c r="F695" s="4"/>
      <c r="G695" s="4"/>
      <c r="H695" s="4"/>
      <c r="I695" s="4"/>
      <c r="J695" s="4"/>
      <c r="K695" s="4"/>
      <c r="L695" s="4"/>
      <c r="M695" s="4"/>
    </row>
    <row r="696" ht="12.75" customHeight="1">
      <c r="F696" s="4"/>
      <c r="G696" s="4"/>
      <c r="H696" s="4"/>
      <c r="I696" s="4"/>
      <c r="J696" s="4"/>
      <c r="K696" s="4"/>
      <c r="L696" s="4"/>
      <c r="M696" s="4"/>
    </row>
    <row r="697" ht="12.75" customHeight="1">
      <c r="F697" s="4"/>
      <c r="G697" s="4"/>
      <c r="H697" s="4"/>
      <c r="I697" s="4"/>
      <c r="J697" s="4"/>
      <c r="K697" s="4"/>
      <c r="L697" s="4"/>
      <c r="M697" s="4"/>
    </row>
    <row r="698" ht="12.75" customHeight="1">
      <c r="F698" s="4"/>
      <c r="G698" s="4"/>
      <c r="H698" s="4"/>
      <c r="I698" s="4"/>
      <c r="J698" s="4"/>
      <c r="K698" s="4"/>
      <c r="L698" s="4"/>
      <c r="M698" s="4"/>
    </row>
    <row r="699" ht="12.75" customHeight="1">
      <c r="F699" s="4"/>
      <c r="G699" s="4"/>
      <c r="H699" s="4"/>
      <c r="I699" s="4"/>
      <c r="J699" s="4"/>
      <c r="K699" s="4"/>
      <c r="L699" s="4"/>
      <c r="M699" s="4"/>
    </row>
    <row r="700" ht="12.75" customHeight="1">
      <c r="F700" s="4"/>
      <c r="G700" s="4"/>
      <c r="H700" s="4"/>
      <c r="I700" s="4"/>
      <c r="J700" s="4"/>
      <c r="K700" s="4"/>
      <c r="L700" s="4"/>
      <c r="M700" s="4"/>
    </row>
    <row r="701" ht="12.75" customHeight="1">
      <c r="F701" s="4"/>
      <c r="G701" s="4"/>
      <c r="H701" s="4"/>
      <c r="I701" s="4"/>
      <c r="J701" s="4"/>
      <c r="K701" s="4"/>
      <c r="L701" s="4"/>
      <c r="M701" s="4"/>
    </row>
    <row r="702" ht="12.75" customHeight="1">
      <c r="F702" s="4"/>
      <c r="G702" s="4"/>
      <c r="H702" s="4"/>
      <c r="I702" s="4"/>
      <c r="J702" s="4"/>
      <c r="K702" s="4"/>
      <c r="L702" s="4"/>
      <c r="M702" s="4"/>
    </row>
    <row r="703" ht="12.75" customHeight="1">
      <c r="F703" s="4"/>
      <c r="G703" s="4"/>
      <c r="H703" s="4"/>
      <c r="I703" s="4"/>
      <c r="J703" s="4"/>
      <c r="K703" s="4"/>
      <c r="L703" s="4"/>
      <c r="M703" s="4"/>
    </row>
    <row r="704" ht="12.75" customHeight="1">
      <c r="F704" s="4"/>
      <c r="G704" s="4"/>
      <c r="H704" s="4"/>
      <c r="I704" s="4"/>
      <c r="J704" s="4"/>
      <c r="K704" s="4"/>
      <c r="L704" s="4"/>
      <c r="M704" s="4"/>
    </row>
    <row r="705" ht="12.75" customHeight="1">
      <c r="F705" s="4"/>
      <c r="G705" s="4"/>
      <c r="H705" s="4"/>
      <c r="I705" s="4"/>
      <c r="J705" s="4"/>
      <c r="K705" s="4"/>
      <c r="L705" s="4"/>
      <c r="M705" s="4"/>
    </row>
    <row r="706" ht="12.75" customHeight="1">
      <c r="F706" s="4"/>
      <c r="G706" s="4"/>
      <c r="H706" s="4"/>
      <c r="I706" s="4"/>
      <c r="J706" s="4"/>
      <c r="K706" s="4"/>
      <c r="L706" s="4"/>
      <c r="M706" s="4"/>
    </row>
    <row r="707" ht="12.75" customHeight="1">
      <c r="F707" s="4"/>
      <c r="G707" s="4"/>
      <c r="H707" s="4"/>
      <c r="I707" s="4"/>
      <c r="J707" s="4"/>
      <c r="K707" s="4"/>
      <c r="L707" s="4"/>
      <c r="M707" s="4"/>
    </row>
    <row r="708" ht="12.75" customHeight="1">
      <c r="F708" s="4"/>
      <c r="G708" s="4"/>
      <c r="H708" s="4"/>
      <c r="I708" s="4"/>
      <c r="J708" s="4"/>
      <c r="K708" s="4"/>
      <c r="L708" s="4"/>
      <c r="M708" s="4"/>
    </row>
    <row r="709" ht="12.75" customHeight="1">
      <c r="F709" s="4"/>
      <c r="G709" s="4"/>
      <c r="H709" s="4"/>
      <c r="I709" s="4"/>
      <c r="J709" s="4"/>
      <c r="K709" s="4"/>
      <c r="L709" s="4"/>
      <c r="M709" s="4"/>
    </row>
    <row r="710" ht="12.75" customHeight="1">
      <c r="F710" s="4"/>
      <c r="G710" s="4"/>
      <c r="H710" s="4"/>
      <c r="I710" s="4"/>
      <c r="J710" s="4"/>
      <c r="K710" s="4"/>
      <c r="L710" s="4"/>
      <c r="M710" s="4"/>
    </row>
    <row r="711" ht="12.75" customHeight="1">
      <c r="F711" s="4"/>
      <c r="G711" s="4"/>
      <c r="H711" s="4"/>
      <c r="I711" s="4"/>
      <c r="J711" s="4"/>
      <c r="K711" s="4"/>
      <c r="L711" s="4"/>
      <c r="M711" s="4"/>
    </row>
    <row r="712" ht="12.75" customHeight="1">
      <c r="F712" s="4"/>
      <c r="G712" s="4"/>
      <c r="H712" s="4"/>
      <c r="I712" s="4"/>
      <c r="J712" s="4"/>
      <c r="K712" s="4"/>
      <c r="L712" s="4"/>
      <c r="M712" s="4"/>
    </row>
    <row r="713" ht="12.75" customHeight="1">
      <c r="F713" s="4"/>
      <c r="G713" s="4"/>
      <c r="H713" s="4"/>
      <c r="I713" s="4"/>
      <c r="J713" s="4"/>
      <c r="K713" s="4"/>
      <c r="L713" s="4"/>
      <c r="M713" s="4"/>
    </row>
    <row r="714" ht="12.75" customHeight="1">
      <c r="F714" s="4"/>
      <c r="G714" s="4"/>
      <c r="H714" s="4"/>
      <c r="I714" s="4"/>
      <c r="J714" s="4"/>
      <c r="K714" s="4"/>
      <c r="L714" s="4"/>
      <c r="M714" s="4"/>
    </row>
    <row r="715" ht="12.75" customHeight="1">
      <c r="F715" s="4"/>
      <c r="G715" s="4"/>
      <c r="H715" s="4"/>
      <c r="I715" s="4"/>
      <c r="J715" s="4"/>
      <c r="K715" s="4"/>
      <c r="L715" s="4"/>
      <c r="M715" s="4"/>
    </row>
    <row r="716" ht="12.75" customHeight="1">
      <c r="F716" s="4"/>
      <c r="G716" s="4"/>
      <c r="H716" s="4"/>
      <c r="I716" s="4"/>
      <c r="J716" s="4"/>
      <c r="K716" s="4"/>
      <c r="L716" s="4"/>
      <c r="M716" s="4"/>
    </row>
    <row r="717" ht="12.75" customHeight="1">
      <c r="F717" s="4"/>
      <c r="G717" s="4"/>
      <c r="H717" s="4"/>
      <c r="I717" s="4"/>
      <c r="J717" s="4"/>
      <c r="K717" s="4"/>
      <c r="L717" s="4"/>
      <c r="M717" s="4"/>
    </row>
    <row r="718" ht="12.75" customHeight="1">
      <c r="F718" s="4"/>
      <c r="G718" s="4"/>
      <c r="H718" s="4"/>
      <c r="I718" s="4"/>
      <c r="J718" s="4"/>
      <c r="K718" s="4"/>
      <c r="L718" s="4"/>
      <c r="M718" s="4"/>
    </row>
    <row r="719" ht="12.75" customHeight="1">
      <c r="F719" s="4"/>
      <c r="G719" s="4"/>
      <c r="H719" s="4"/>
      <c r="I719" s="4"/>
      <c r="J719" s="4"/>
      <c r="K719" s="4"/>
      <c r="L719" s="4"/>
      <c r="M719" s="4"/>
    </row>
    <row r="720" ht="12.75" customHeight="1">
      <c r="F720" s="4"/>
      <c r="G720" s="4"/>
      <c r="H720" s="4"/>
      <c r="I720" s="4"/>
      <c r="J720" s="4"/>
      <c r="K720" s="4"/>
      <c r="L720" s="4"/>
      <c r="M720" s="4"/>
    </row>
    <row r="721" ht="12.75" customHeight="1">
      <c r="F721" s="4"/>
      <c r="G721" s="4"/>
      <c r="H721" s="4"/>
      <c r="I721" s="4"/>
      <c r="J721" s="4"/>
      <c r="K721" s="4"/>
      <c r="L721" s="4"/>
      <c r="M721" s="4"/>
    </row>
    <row r="722" ht="12.75" customHeight="1">
      <c r="F722" s="4"/>
      <c r="G722" s="4"/>
      <c r="H722" s="4"/>
      <c r="I722" s="4"/>
      <c r="J722" s="4"/>
      <c r="K722" s="4"/>
      <c r="L722" s="4"/>
      <c r="M722" s="4"/>
    </row>
    <row r="723" ht="12.75" customHeight="1">
      <c r="F723" s="4"/>
      <c r="G723" s="4"/>
      <c r="H723" s="4"/>
      <c r="I723" s="4"/>
      <c r="J723" s="4"/>
      <c r="K723" s="4"/>
      <c r="L723" s="4"/>
      <c r="M723" s="4"/>
    </row>
    <row r="724" ht="12.75" customHeight="1">
      <c r="F724" s="4"/>
      <c r="G724" s="4"/>
      <c r="H724" s="4"/>
      <c r="I724" s="4"/>
      <c r="J724" s="4"/>
      <c r="K724" s="4"/>
      <c r="L724" s="4"/>
      <c r="M724" s="4"/>
    </row>
    <row r="725" ht="12.75" customHeight="1">
      <c r="F725" s="4"/>
      <c r="G725" s="4"/>
      <c r="H725" s="4"/>
      <c r="I725" s="4"/>
      <c r="J725" s="4"/>
      <c r="K725" s="4"/>
      <c r="L725" s="4"/>
      <c r="M725" s="4"/>
    </row>
    <row r="726" ht="12.75" customHeight="1">
      <c r="F726" s="4"/>
      <c r="G726" s="4"/>
      <c r="H726" s="4"/>
      <c r="I726" s="4"/>
      <c r="J726" s="4"/>
      <c r="K726" s="4"/>
      <c r="L726" s="4"/>
      <c r="M726" s="4"/>
    </row>
    <row r="727" ht="12.75" customHeight="1">
      <c r="F727" s="4"/>
      <c r="G727" s="4"/>
      <c r="H727" s="4"/>
      <c r="I727" s="4"/>
      <c r="J727" s="4"/>
      <c r="K727" s="4"/>
      <c r="L727" s="4"/>
      <c r="M727" s="4"/>
    </row>
    <row r="728" ht="12.75" customHeight="1">
      <c r="F728" s="4"/>
      <c r="G728" s="4"/>
      <c r="H728" s="4"/>
      <c r="I728" s="4"/>
      <c r="J728" s="4"/>
      <c r="K728" s="4"/>
      <c r="L728" s="4"/>
      <c r="M728" s="4"/>
    </row>
    <row r="729" ht="12.75" customHeight="1">
      <c r="F729" s="4"/>
      <c r="G729" s="4"/>
      <c r="H729" s="4"/>
      <c r="I729" s="4"/>
      <c r="J729" s="4"/>
      <c r="K729" s="4"/>
      <c r="L729" s="4"/>
      <c r="M729" s="4"/>
    </row>
    <row r="730" ht="12.75" customHeight="1">
      <c r="F730" s="4"/>
      <c r="G730" s="4"/>
      <c r="H730" s="4"/>
      <c r="I730" s="4"/>
      <c r="J730" s="4"/>
      <c r="K730" s="4"/>
      <c r="L730" s="4"/>
      <c r="M730" s="4"/>
    </row>
    <row r="731" ht="12.75" customHeight="1">
      <c r="F731" s="4"/>
      <c r="G731" s="4"/>
      <c r="H731" s="4"/>
      <c r="I731" s="4"/>
      <c r="J731" s="4"/>
      <c r="K731" s="4"/>
      <c r="L731" s="4"/>
      <c r="M731" s="4"/>
    </row>
    <row r="732" ht="12.75" customHeight="1">
      <c r="F732" s="4"/>
      <c r="G732" s="4"/>
      <c r="H732" s="4"/>
      <c r="I732" s="4"/>
      <c r="J732" s="4"/>
      <c r="K732" s="4"/>
      <c r="L732" s="4"/>
      <c r="M732" s="4"/>
    </row>
    <row r="733" ht="12.75" customHeight="1">
      <c r="F733" s="4"/>
      <c r="G733" s="4"/>
      <c r="H733" s="4"/>
      <c r="I733" s="4"/>
      <c r="J733" s="4"/>
      <c r="K733" s="4"/>
      <c r="L733" s="4"/>
      <c r="M733" s="4"/>
    </row>
    <row r="734" ht="12.75" customHeight="1">
      <c r="F734" s="4"/>
      <c r="G734" s="4"/>
      <c r="H734" s="4"/>
      <c r="I734" s="4"/>
      <c r="J734" s="4"/>
      <c r="K734" s="4"/>
      <c r="L734" s="4"/>
      <c r="M734" s="4"/>
    </row>
    <row r="735" ht="12.75" customHeight="1">
      <c r="F735" s="4"/>
      <c r="G735" s="4"/>
      <c r="H735" s="4"/>
      <c r="I735" s="4"/>
      <c r="J735" s="4"/>
      <c r="K735" s="4"/>
      <c r="L735" s="4"/>
      <c r="M735" s="4"/>
    </row>
    <row r="736" ht="12.75" customHeight="1">
      <c r="F736" s="4"/>
      <c r="G736" s="4"/>
      <c r="H736" s="4"/>
      <c r="I736" s="4"/>
      <c r="J736" s="4"/>
      <c r="K736" s="4"/>
      <c r="L736" s="4"/>
      <c r="M736" s="4"/>
    </row>
    <row r="737" ht="12.75" customHeight="1">
      <c r="F737" s="4"/>
      <c r="G737" s="4"/>
      <c r="H737" s="4"/>
      <c r="I737" s="4"/>
      <c r="J737" s="4"/>
      <c r="K737" s="4"/>
      <c r="L737" s="4"/>
      <c r="M737" s="4"/>
    </row>
    <row r="738" ht="12.75" customHeight="1">
      <c r="F738" s="4"/>
      <c r="G738" s="4"/>
      <c r="H738" s="4"/>
      <c r="I738" s="4"/>
      <c r="J738" s="4"/>
      <c r="K738" s="4"/>
      <c r="L738" s="4"/>
      <c r="M738" s="4"/>
    </row>
    <row r="739" ht="12.75" customHeight="1">
      <c r="F739" s="4"/>
      <c r="G739" s="4"/>
      <c r="H739" s="4"/>
      <c r="I739" s="4"/>
      <c r="J739" s="4"/>
      <c r="K739" s="4"/>
      <c r="L739" s="4"/>
      <c r="M739" s="4"/>
    </row>
    <row r="740" ht="12.75" customHeight="1">
      <c r="F740" s="4"/>
      <c r="G740" s="4"/>
      <c r="H740" s="4"/>
      <c r="I740" s="4"/>
      <c r="J740" s="4"/>
      <c r="K740" s="4"/>
      <c r="L740" s="4"/>
      <c r="M740" s="4"/>
    </row>
    <row r="741" ht="12.75" customHeight="1">
      <c r="F741" s="4"/>
      <c r="G741" s="4"/>
      <c r="H741" s="4"/>
      <c r="I741" s="4"/>
      <c r="J741" s="4"/>
      <c r="K741" s="4"/>
      <c r="L741" s="4"/>
      <c r="M741" s="4"/>
    </row>
    <row r="742" ht="12.75" customHeight="1">
      <c r="F742" s="4"/>
      <c r="G742" s="4"/>
      <c r="H742" s="4"/>
      <c r="I742" s="4"/>
      <c r="J742" s="4"/>
      <c r="K742" s="4"/>
      <c r="L742" s="4"/>
      <c r="M742" s="4"/>
    </row>
    <row r="743" ht="12.75" customHeight="1">
      <c r="F743" s="4"/>
      <c r="G743" s="4"/>
      <c r="H743" s="4"/>
      <c r="I743" s="4"/>
      <c r="J743" s="4"/>
      <c r="K743" s="4"/>
      <c r="L743" s="4"/>
      <c r="M743" s="4"/>
    </row>
    <row r="744" ht="12.75" customHeight="1">
      <c r="F744" s="4"/>
      <c r="G744" s="4"/>
      <c r="H744" s="4"/>
      <c r="I744" s="4"/>
      <c r="J744" s="4"/>
      <c r="K744" s="4"/>
      <c r="L744" s="4"/>
      <c r="M744" s="4"/>
    </row>
    <row r="745" ht="12.75" customHeight="1">
      <c r="F745" s="4"/>
      <c r="G745" s="4"/>
      <c r="H745" s="4"/>
      <c r="I745" s="4"/>
      <c r="J745" s="4"/>
      <c r="K745" s="4"/>
      <c r="L745" s="4"/>
      <c r="M745" s="4"/>
    </row>
    <row r="746" ht="12.75" customHeight="1">
      <c r="F746" s="4"/>
      <c r="G746" s="4"/>
      <c r="H746" s="4"/>
      <c r="I746" s="4"/>
      <c r="J746" s="4"/>
      <c r="K746" s="4"/>
      <c r="L746" s="4"/>
      <c r="M746" s="4"/>
    </row>
    <row r="747" ht="12.75" customHeight="1">
      <c r="F747" s="4"/>
      <c r="G747" s="4"/>
      <c r="H747" s="4"/>
      <c r="I747" s="4"/>
      <c r="J747" s="4"/>
      <c r="K747" s="4"/>
      <c r="L747" s="4"/>
      <c r="M747" s="4"/>
    </row>
    <row r="748" ht="12.75" customHeight="1">
      <c r="F748" s="4"/>
      <c r="G748" s="4"/>
      <c r="H748" s="4"/>
      <c r="I748" s="4"/>
      <c r="J748" s="4"/>
      <c r="K748" s="4"/>
      <c r="L748" s="4"/>
      <c r="M748" s="4"/>
    </row>
    <row r="749" ht="12.75" customHeight="1">
      <c r="F749" s="4"/>
      <c r="G749" s="4"/>
      <c r="H749" s="4"/>
      <c r="I749" s="4"/>
      <c r="J749" s="4"/>
      <c r="K749" s="4"/>
      <c r="L749" s="4"/>
      <c r="M749" s="4"/>
    </row>
    <row r="750" ht="12.75" customHeight="1">
      <c r="F750" s="4"/>
      <c r="G750" s="4"/>
      <c r="H750" s="4"/>
      <c r="I750" s="4"/>
      <c r="J750" s="4"/>
      <c r="K750" s="4"/>
      <c r="L750" s="4"/>
      <c r="M750" s="4"/>
    </row>
    <row r="751" ht="12.75" customHeight="1">
      <c r="F751" s="4"/>
      <c r="G751" s="4"/>
      <c r="H751" s="4"/>
      <c r="I751" s="4"/>
      <c r="J751" s="4"/>
      <c r="K751" s="4"/>
      <c r="L751" s="4"/>
      <c r="M751" s="4"/>
    </row>
    <row r="752" ht="12.75" customHeight="1">
      <c r="F752" s="4"/>
      <c r="G752" s="4"/>
      <c r="H752" s="4"/>
      <c r="I752" s="4"/>
      <c r="J752" s="4"/>
      <c r="K752" s="4"/>
      <c r="L752" s="4"/>
      <c r="M752" s="4"/>
    </row>
    <row r="753" ht="12.75" customHeight="1">
      <c r="F753" s="4"/>
      <c r="G753" s="4"/>
      <c r="H753" s="4"/>
      <c r="I753" s="4"/>
      <c r="J753" s="4"/>
      <c r="K753" s="4"/>
      <c r="L753" s="4"/>
      <c r="M753" s="4"/>
    </row>
    <row r="754" ht="12.75" customHeight="1">
      <c r="F754" s="4"/>
      <c r="G754" s="4"/>
      <c r="H754" s="4"/>
      <c r="I754" s="4"/>
      <c r="J754" s="4"/>
      <c r="K754" s="4"/>
      <c r="L754" s="4"/>
      <c r="M754" s="4"/>
    </row>
    <row r="755" ht="12.75" customHeight="1">
      <c r="F755" s="4"/>
      <c r="G755" s="4"/>
      <c r="H755" s="4"/>
      <c r="I755" s="4"/>
      <c r="J755" s="4"/>
      <c r="K755" s="4"/>
      <c r="L755" s="4"/>
      <c r="M755" s="4"/>
    </row>
    <row r="756" ht="12.75" customHeight="1">
      <c r="F756" s="4"/>
      <c r="G756" s="4"/>
      <c r="H756" s="4"/>
      <c r="I756" s="4"/>
      <c r="J756" s="4"/>
      <c r="K756" s="4"/>
      <c r="L756" s="4"/>
      <c r="M756" s="4"/>
    </row>
    <row r="757" ht="12.75" customHeight="1">
      <c r="F757" s="4"/>
      <c r="G757" s="4"/>
      <c r="H757" s="4"/>
      <c r="I757" s="4"/>
      <c r="J757" s="4"/>
      <c r="K757" s="4"/>
      <c r="L757" s="4"/>
      <c r="M757" s="4"/>
    </row>
    <row r="758" ht="12.75" customHeight="1">
      <c r="F758" s="4"/>
      <c r="G758" s="4"/>
      <c r="H758" s="4"/>
      <c r="I758" s="4"/>
      <c r="J758" s="4"/>
      <c r="K758" s="4"/>
      <c r="L758" s="4"/>
      <c r="M758" s="4"/>
    </row>
    <row r="759" ht="12.75" customHeight="1">
      <c r="F759" s="4"/>
      <c r="G759" s="4"/>
      <c r="H759" s="4"/>
      <c r="I759" s="4"/>
      <c r="J759" s="4"/>
      <c r="K759" s="4"/>
      <c r="L759" s="4"/>
      <c r="M759" s="4"/>
    </row>
    <row r="760" ht="12.75" customHeight="1">
      <c r="F760" s="4"/>
      <c r="G760" s="4"/>
      <c r="H760" s="4"/>
      <c r="I760" s="4"/>
      <c r="J760" s="4"/>
      <c r="K760" s="4"/>
      <c r="L760" s="4"/>
      <c r="M760" s="4"/>
    </row>
    <row r="761" ht="12.75" customHeight="1">
      <c r="F761" s="4"/>
      <c r="G761" s="4"/>
      <c r="H761" s="4"/>
      <c r="I761" s="4"/>
      <c r="J761" s="4"/>
      <c r="K761" s="4"/>
      <c r="L761" s="4"/>
      <c r="M761" s="4"/>
    </row>
    <row r="762" ht="12.75" customHeight="1">
      <c r="F762" s="4"/>
      <c r="G762" s="4"/>
      <c r="H762" s="4"/>
      <c r="I762" s="4"/>
      <c r="J762" s="4"/>
      <c r="K762" s="4"/>
      <c r="L762" s="4"/>
      <c r="M762" s="4"/>
    </row>
    <row r="763" ht="12.75" customHeight="1">
      <c r="F763" s="4"/>
      <c r="G763" s="4"/>
      <c r="H763" s="4"/>
      <c r="I763" s="4"/>
      <c r="J763" s="4"/>
      <c r="K763" s="4"/>
      <c r="L763" s="4"/>
      <c r="M763" s="4"/>
    </row>
    <row r="764" ht="12.75" customHeight="1">
      <c r="F764" s="4"/>
      <c r="G764" s="4"/>
      <c r="H764" s="4"/>
      <c r="I764" s="4"/>
      <c r="J764" s="4"/>
      <c r="K764" s="4"/>
      <c r="L764" s="4"/>
      <c r="M764" s="4"/>
    </row>
    <row r="765" ht="12.75" customHeight="1">
      <c r="F765" s="4"/>
      <c r="G765" s="4"/>
      <c r="H765" s="4"/>
      <c r="I765" s="4"/>
      <c r="J765" s="4"/>
      <c r="K765" s="4"/>
      <c r="L765" s="4"/>
      <c r="M765" s="4"/>
    </row>
    <row r="766" ht="12.75" customHeight="1">
      <c r="F766" s="4"/>
      <c r="G766" s="4"/>
      <c r="H766" s="4"/>
      <c r="I766" s="4"/>
      <c r="J766" s="4"/>
      <c r="K766" s="4"/>
      <c r="L766" s="4"/>
      <c r="M766" s="4"/>
    </row>
    <row r="767" ht="12.75" customHeight="1">
      <c r="F767" s="4"/>
      <c r="G767" s="4"/>
      <c r="H767" s="4"/>
      <c r="I767" s="4"/>
      <c r="J767" s="4"/>
      <c r="K767" s="4"/>
      <c r="L767" s="4"/>
      <c r="M767" s="4"/>
    </row>
    <row r="768" ht="12.75" customHeight="1">
      <c r="F768" s="4"/>
      <c r="G768" s="4"/>
      <c r="H768" s="4"/>
      <c r="I768" s="4"/>
      <c r="J768" s="4"/>
      <c r="K768" s="4"/>
      <c r="L768" s="4"/>
      <c r="M768" s="4"/>
    </row>
    <row r="769" ht="12.75" customHeight="1">
      <c r="F769" s="4"/>
      <c r="G769" s="4"/>
      <c r="H769" s="4"/>
      <c r="I769" s="4"/>
      <c r="J769" s="4"/>
      <c r="K769" s="4"/>
      <c r="L769" s="4"/>
      <c r="M769" s="4"/>
    </row>
    <row r="770" ht="12.75" customHeight="1">
      <c r="F770" s="4"/>
      <c r="G770" s="4"/>
      <c r="H770" s="4"/>
      <c r="I770" s="4"/>
      <c r="J770" s="4"/>
      <c r="K770" s="4"/>
      <c r="L770" s="4"/>
      <c r="M770" s="4"/>
    </row>
    <row r="771" ht="12.75" customHeight="1">
      <c r="F771" s="4"/>
      <c r="G771" s="4"/>
      <c r="H771" s="4"/>
      <c r="I771" s="4"/>
      <c r="J771" s="4"/>
      <c r="K771" s="4"/>
      <c r="L771" s="4"/>
      <c r="M771" s="4"/>
    </row>
    <row r="772" ht="12.75" customHeight="1">
      <c r="F772" s="4"/>
      <c r="G772" s="4"/>
      <c r="H772" s="4"/>
      <c r="I772" s="4"/>
      <c r="J772" s="4"/>
      <c r="K772" s="4"/>
      <c r="L772" s="4"/>
      <c r="M772" s="4"/>
    </row>
    <row r="773" ht="12.75" customHeight="1">
      <c r="F773" s="4"/>
      <c r="G773" s="4"/>
      <c r="H773" s="4"/>
      <c r="I773" s="4"/>
      <c r="J773" s="4"/>
      <c r="K773" s="4"/>
      <c r="L773" s="4"/>
      <c r="M773" s="4"/>
    </row>
    <row r="774" ht="12.75" customHeight="1">
      <c r="F774" s="4"/>
      <c r="G774" s="4"/>
      <c r="H774" s="4"/>
      <c r="I774" s="4"/>
      <c r="J774" s="4"/>
      <c r="K774" s="4"/>
      <c r="L774" s="4"/>
      <c r="M774" s="4"/>
    </row>
    <row r="775" ht="12.75" customHeight="1">
      <c r="F775" s="4"/>
      <c r="G775" s="4"/>
      <c r="H775" s="4"/>
      <c r="I775" s="4"/>
      <c r="J775" s="4"/>
      <c r="K775" s="4"/>
      <c r="L775" s="4"/>
      <c r="M775" s="4"/>
    </row>
    <row r="776" ht="12.75" customHeight="1">
      <c r="F776" s="4"/>
      <c r="G776" s="4"/>
      <c r="H776" s="4"/>
      <c r="I776" s="4"/>
      <c r="J776" s="4"/>
      <c r="K776" s="4"/>
      <c r="L776" s="4"/>
      <c r="M776" s="4"/>
    </row>
    <row r="777" ht="12.75" customHeight="1">
      <c r="F777" s="4"/>
      <c r="G777" s="4"/>
      <c r="H777" s="4"/>
      <c r="I777" s="4"/>
      <c r="J777" s="4"/>
      <c r="K777" s="4"/>
      <c r="L777" s="4"/>
      <c r="M777" s="4"/>
    </row>
    <row r="778" ht="12.75" customHeight="1">
      <c r="F778" s="4"/>
      <c r="G778" s="4"/>
      <c r="H778" s="4"/>
      <c r="I778" s="4"/>
      <c r="J778" s="4"/>
      <c r="K778" s="4"/>
      <c r="L778" s="4"/>
      <c r="M778" s="4"/>
    </row>
    <row r="779" ht="12.75" customHeight="1">
      <c r="F779" s="4"/>
      <c r="G779" s="4"/>
      <c r="H779" s="4"/>
      <c r="I779" s="4"/>
      <c r="J779" s="4"/>
      <c r="K779" s="4"/>
      <c r="L779" s="4"/>
      <c r="M779" s="4"/>
    </row>
    <row r="780" ht="12.75" customHeight="1">
      <c r="F780" s="4"/>
      <c r="G780" s="4"/>
      <c r="H780" s="4"/>
      <c r="I780" s="4"/>
      <c r="J780" s="4"/>
      <c r="K780" s="4"/>
      <c r="L780" s="4"/>
      <c r="M780" s="4"/>
    </row>
    <row r="781" ht="12.75" customHeight="1">
      <c r="F781" s="4"/>
      <c r="G781" s="4"/>
      <c r="H781" s="4"/>
      <c r="I781" s="4"/>
      <c r="J781" s="4"/>
      <c r="K781" s="4"/>
      <c r="L781" s="4"/>
      <c r="M781" s="4"/>
    </row>
    <row r="782" ht="12.75" customHeight="1">
      <c r="F782" s="4"/>
      <c r="G782" s="4"/>
      <c r="H782" s="4"/>
      <c r="I782" s="4"/>
      <c r="J782" s="4"/>
      <c r="K782" s="4"/>
      <c r="L782" s="4"/>
      <c r="M782" s="4"/>
    </row>
    <row r="783" ht="12.75" customHeight="1">
      <c r="F783" s="4"/>
      <c r="G783" s="4"/>
      <c r="H783" s="4"/>
      <c r="I783" s="4"/>
      <c r="J783" s="4"/>
      <c r="K783" s="4"/>
      <c r="L783" s="4"/>
      <c r="M783" s="4"/>
    </row>
    <row r="784" ht="12.75" customHeight="1">
      <c r="F784" s="4"/>
      <c r="G784" s="4"/>
      <c r="H784" s="4"/>
      <c r="I784" s="4"/>
      <c r="J784" s="4"/>
      <c r="K784" s="4"/>
      <c r="L784" s="4"/>
      <c r="M784" s="4"/>
    </row>
    <row r="785" ht="12.75" customHeight="1">
      <c r="F785" s="4"/>
      <c r="G785" s="4"/>
      <c r="H785" s="4"/>
      <c r="I785" s="4"/>
      <c r="J785" s="4"/>
      <c r="K785" s="4"/>
      <c r="L785" s="4"/>
      <c r="M785" s="4"/>
    </row>
    <row r="786" ht="12.75" customHeight="1">
      <c r="F786" s="4"/>
      <c r="G786" s="4"/>
      <c r="H786" s="4"/>
      <c r="I786" s="4"/>
      <c r="J786" s="4"/>
      <c r="K786" s="4"/>
      <c r="L786" s="4"/>
      <c r="M786" s="4"/>
    </row>
    <row r="787" ht="12.75" customHeight="1">
      <c r="F787" s="4"/>
      <c r="G787" s="4"/>
      <c r="H787" s="4"/>
      <c r="I787" s="4"/>
      <c r="J787" s="4"/>
      <c r="K787" s="4"/>
      <c r="L787" s="4"/>
      <c r="M787" s="4"/>
    </row>
    <row r="788" ht="12.75" customHeight="1">
      <c r="F788" s="4"/>
      <c r="G788" s="4"/>
      <c r="H788" s="4"/>
      <c r="I788" s="4"/>
      <c r="J788" s="4"/>
      <c r="K788" s="4"/>
      <c r="L788" s="4"/>
      <c r="M788" s="4"/>
    </row>
    <row r="789" ht="12.75" customHeight="1">
      <c r="F789" s="4"/>
      <c r="G789" s="4"/>
      <c r="H789" s="4"/>
      <c r="I789" s="4"/>
      <c r="J789" s="4"/>
      <c r="K789" s="4"/>
      <c r="L789" s="4"/>
      <c r="M789" s="4"/>
    </row>
    <row r="790" ht="12.75" customHeight="1">
      <c r="F790" s="4"/>
      <c r="G790" s="4"/>
      <c r="H790" s="4"/>
      <c r="I790" s="4"/>
      <c r="J790" s="4"/>
      <c r="K790" s="4"/>
      <c r="L790" s="4"/>
      <c r="M790" s="4"/>
    </row>
    <row r="791" ht="12.75" customHeight="1">
      <c r="F791" s="4"/>
      <c r="G791" s="4"/>
      <c r="H791" s="4"/>
      <c r="I791" s="4"/>
      <c r="J791" s="4"/>
      <c r="K791" s="4"/>
      <c r="L791" s="4"/>
      <c r="M791" s="4"/>
    </row>
    <row r="792" ht="12.75" customHeight="1">
      <c r="F792" s="4"/>
      <c r="G792" s="4"/>
      <c r="H792" s="4"/>
      <c r="I792" s="4"/>
      <c r="J792" s="4"/>
      <c r="K792" s="4"/>
      <c r="L792" s="4"/>
      <c r="M792" s="4"/>
    </row>
    <row r="793" ht="12.75" customHeight="1">
      <c r="F793" s="4"/>
      <c r="G793" s="4"/>
      <c r="H793" s="4"/>
      <c r="I793" s="4"/>
      <c r="J793" s="4"/>
      <c r="K793" s="4"/>
      <c r="L793" s="4"/>
      <c r="M793" s="4"/>
    </row>
    <row r="794" ht="12.75" customHeight="1">
      <c r="F794" s="4"/>
      <c r="G794" s="4"/>
      <c r="H794" s="4"/>
      <c r="I794" s="4"/>
      <c r="J794" s="4"/>
      <c r="K794" s="4"/>
      <c r="L794" s="4"/>
      <c r="M794" s="4"/>
    </row>
    <row r="795" ht="12.75" customHeight="1">
      <c r="F795" s="4"/>
      <c r="G795" s="4"/>
      <c r="H795" s="4"/>
      <c r="I795" s="4"/>
      <c r="J795" s="4"/>
      <c r="K795" s="4"/>
      <c r="L795" s="4"/>
      <c r="M795" s="4"/>
    </row>
    <row r="796" ht="12.75" customHeight="1">
      <c r="F796" s="4"/>
      <c r="G796" s="4"/>
      <c r="H796" s="4"/>
      <c r="I796" s="4"/>
      <c r="J796" s="4"/>
      <c r="K796" s="4"/>
      <c r="L796" s="4"/>
      <c r="M796" s="4"/>
    </row>
    <row r="797" ht="12.75" customHeight="1">
      <c r="F797" s="4"/>
      <c r="G797" s="4"/>
      <c r="H797" s="4"/>
      <c r="I797" s="4"/>
      <c r="J797" s="4"/>
      <c r="K797" s="4"/>
      <c r="L797" s="4"/>
      <c r="M797" s="4"/>
    </row>
    <row r="798" ht="12.75" customHeight="1">
      <c r="F798" s="4"/>
      <c r="G798" s="4"/>
      <c r="H798" s="4"/>
      <c r="I798" s="4"/>
      <c r="J798" s="4"/>
      <c r="K798" s="4"/>
      <c r="L798" s="4"/>
      <c r="M798" s="4"/>
    </row>
    <row r="799" ht="12.75" customHeight="1">
      <c r="F799" s="4"/>
      <c r="G799" s="4"/>
      <c r="H799" s="4"/>
      <c r="I799" s="4"/>
      <c r="J799" s="4"/>
      <c r="K799" s="4"/>
      <c r="L799" s="4"/>
      <c r="M799" s="4"/>
    </row>
    <row r="800" ht="12.75" customHeight="1">
      <c r="F800" s="4"/>
      <c r="G800" s="4"/>
      <c r="H800" s="4"/>
      <c r="I800" s="4"/>
      <c r="J800" s="4"/>
      <c r="K800" s="4"/>
      <c r="L800" s="4"/>
      <c r="M800" s="4"/>
    </row>
    <row r="801" ht="12.75" customHeight="1">
      <c r="F801" s="4"/>
      <c r="G801" s="4"/>
      <c r="H801" s="4"/>
      <c r="I801" s="4"/>
      <c r="J801" s="4"/>
      <c r="K801" s="4"/>
      <c r="L801" s="4"/>
      <c r="M801" s="4"/>
    </row>
    <row r="802" ht="12.75" customHeight="1">
      <c r="F802" s="4"/>
      <c r="G802" s="4"/>
      <c r="H802" s="4"/>
      <c r="I802" s="4"/>
      <c r="J802" s="4"/>
      <c r="K802" s="4"/>
      <c r="L802" s="4"/>
      <c r="M802" s="4"/>
    </row>
    <row r="803" ht="12.75" customHeight="1">
      <c r="F803" s="4"/>
      <c r="G803" s="4"/>
      <c r="H803" s="4"/>
      <c r="I803" s="4"/>
      <c r="J803" s="4"/>
      <c r="K803" s="4"/>
      <c r="L803" s="4"/>
      <c r="M803" s="4"/>
    </row>
    <row r="804" ht="12.75" customHeight="1">
      <c r="F804" s="4"/>
      <c r="G804" s="4"/>
      <c r="H804" s="4"/>
      <c r="I804" s="4"/>
      <c r="J804" s="4"/>
      <c r="K804" s="4"/>
      <c r="L804" s="4"/>
      <c r="M804" s="4"/>
    </row>
    <row r="805" ht="12.75" customHeight="1">
      <c r="F805" s="4"/>
      <c r="G805" s="4"/>
      <c r="H805" s="4"/>
      <c r="I805" s="4"/>
      <c r="J805" s="4"/>
      <c r="K805" s="4"/>
      <c r="L805" s="4"/>
      <c r="M805" s="4"/>
    </row>
    <row r="806" ht="12.75" customHeight="1">
      <c r="F806" s="4"/>
      <c r="G806" s="4"/>
      <c r="H806" s="4"/>
      <c r="I806" s="4"/>
      <c r="J806" s="4"/>
      <c r="K806" s="4"/>
      <c r="L806" s="4"/>
      <c r="M806" s="4"/>
    </row>
    <row r="807" ht="12.75" customHeight="1">
      <c r="F807" s="4"/>
      <c r="G807" s="4"/>
      <c r="H807" s="4"/>
      <c r="I807" s="4"/>
      <c r="J807" s="4"/>
      <c r="K807" s="4"/>
      <c r="L807" s="4"/>
      <c r="M807" s="4"/>
    </row>
    <row r="808" ht="12.75" customHeight="1">
      <c r="F808" s="4"/>
      <c r="G808" s="4"/>
      <c r="H808" s="4"/>
      <c r="I808" s="4"/>
      <c r="J808" s="4"/>
      <c r="K808" s="4"/>
      <c r="L808" s="4"/>
      <c r="M808" s="4"/>
    </row>
    <row r="809" ht="12.75" customHeight="1">
      <c r="F809" s="4"/>
      <c r="G809" s="4"/>
      <c r="H809" s="4"/>
      <c r="I809" s="4"/>
      <c r="J809" s="4"/>
      <c r="K809" s="4"/>
      <c r="L809" s="4"/>
      <c r="M809" s="4"/>
    </row>
    <row r="810" ht="12.75" customHeight="1">
      <c r="F810" s="4"/>
      <c r="G810" s="4"/>
      <c r="H810" s="4"/>
      <c r="I810" s="4"/>
      <c r="J810" s="4"/>
      <c r="K810" s="4"/>
      <c r="L810" s="4"/>
      <c r="M810" s="4"/>
    </row>
    <row r="811" ht="12.75" customHeight="1">
      <c r="F811" s="4"/>
      <c r="G811" s="4"/>
      <c r="H811" s="4"/>
      <c r="I811" s="4"/>
      <c r="J811" s="4"/>
      <c r="K811" s="4"/>
      <c r="L811" s="4"/>
      <c r="M811" s="4"/>
    </row>
    <row r="812" ht="12.75" customHeight="1">
      <c r="F812" s="4"/>
      <c r="G812" s="4"/>
      <c r="H812" s="4"/>
      <c r="I812" s="4"/>
      <c r="J812" s="4"/>
      <c r="K812" s="4"/>
      <c r="L812" s="4"/>
      <c r="M812" s="4"/>
    </row>
    <row r="813" ht="12.75" customHeight="1">
      <c r="F813" s="4"/>
      <c r="G813" s="4"/>
      <c r="H813" s="4"/>
      <c r="I813" s="4"/>
      <c r="J813" s="4"/>
      <c r="K813" s="4"/>
      <c r="L813" s="4"/>
      <c r="M813" s="4"/>
    </row>
    <row r="814" ht="12.75" customHeight="1">
      <c r="F814" s="4"/>
      <c r="G814" s="4"/>
      <c r="H814" s="4"/>
      <c r="I814" s="4"/>
      <c r="J814" s="4"/>
      <c r="K814" s="4"/>
      <c r="L814" s="4"/>
      <c r="M814" s="4"/>
    </row>
    <row r="815" ht="12.75" customHeight="1">
      <c r="F815" s="4"/>
      <c r="G815" s="4"/>
      <c r="H815" s="4"/>
      <c r="I815" s="4"/>
      <c r="J815" s="4"/>
      <c r="K815" s="4"/>
      <c r="L815" s="4"/>
      <c r="M815" s="4"/>
    </row>
    <row r="816" ht="12.75" customHeight="1">
      <c r="F816" s="4"/>
      <c r="G816" s="4"/>
      <c r="H816" s="4"/>
      <c r="I816" s="4"/>
      <c r="J816" s="4"/>
      <c r="K816" s="4"/>
      <c r="L816" s="4"/>
      <c r="M816" s="4"/>
    </row>
    <row r="817" ht="12.75" customHeight="1">
      <c r="F817" s="4"/>
      <c r="G817" s="4"/>
      <c r="H817" s="4"/>
      <c r="I817" s="4"/>
      <c r="J817" s="4"/>
      <c r="K817" s="4"/>
      <c r="L817" s="4"/>
      <c r="M817" s="4"/>
    </row>
    <row r="818" ht="12.75" customHeight="1">
      <c r="F818" s="4"/>
      <c r="G818" s="4"/>
      <c r="H818" s="4"/>
      <c r="I818" s="4"/>
      <c r="J818" s="4"/>
      <c r="K818" s="4"/>
      <c r="L818" s="4"/>
      <c r="M818" s="4"/>
    </row>
    <row r="819" ht="12.75" customHeight="1">
      <c r="F819" s="4"/>
      <c r="G819" s="4"/>
      <c r="H819" s="4"/>
      <c r="I819" s="4"/>
      <c r="J819" s="4"/>
      <c r="K819" s="4"/>
      <c r="L819" s="4"/>
      <c r="M819" s="4"/>
    </row>
    <row r="820" ht="12.75" customHeight="1">
      <c r="F820" s="4"/>
      <c r="G820" s="4"/>
      <c r="H820" s="4"/>
      <c r="I820" s="4"/>
      <c r="J820" s="4"/>
      <c r="K820" s="4"/>
      <c r="L820" s="4"/>
      <c r="M820" s="4"/>
    </row>
    <row r="821" ht="12.75" customHeight="1">
      <c r="F821" s="4"/>
      <c r="G821" s="4"/>
      <c r="H821" s="4"/>
      <c r="I821" s="4"/>
      <c r="J821" s="4"/>
      <c r="K821" s="4"/>
      <c r="L821" s="4"/>
      <c r="M821" s="4"/>
    </row>
    <row r="822" ht="12.75" customHeight="1">
      <c r="F822" s="4"/>
      <c r="G822" s="4"/>
      <c r="H822" s="4"/>
      <c r="I822" s="4"/>
      <c r="J822" s="4"/>
      <c r="K822" s="4"/>
      <c r="L822" s="4"/>
      <c r="M822" s="4"/>
    </row>
    <row r="823" ht="12.75" customHeight="1">
      <c r="F823" s="4"/>
      <c r="G823" s="4"/>
      <c r="H823" s="4"/>
      <c r="I823" s="4"/>
      <c r="J823" s="4"/>
      <c r="K823" s="4"/>
      <c r="L823" s="4"/>
      <c r="M823" s="4"/>
    </row>
    <row r="824" ht="12.75" customHeight="1">
      <c r="F824" s="4"/>
      <c r="G824" s="4"/>
      <c r="H824" s="4"/>
      <c r="I824" s="4"/>
      <c r="J824" s="4"/>
      <c r="K824" s="4"/>
      <c r="L824" s="4"/>
      <c r="M824" s="4"/>
    </row>
    <row r="825" ht="12.75" customHeight="1">
      <c r="F825" s="4"/>
      <c r="G825" s="4"/>
      <c r="H825" s="4"/>
      <c r="I825" s="4"/>
      <c r="J825" s="4"/>
      <c r="K825" s="4"/>
      <c r="L825" s="4"/>
      <c r="M825" s="4"/>
    </row>
    <row r="826" ht="12.75" customHeight="1">
      <c r="F826" s="4"/>
      <c r="G826" s="4"/>
      <c r="H826" s="4"/>
      <c r="I826" s="4"/>
      <c r="J826" s="4"/>
      <c r="K826" s="4"/>
      <c r="L826" s="4"/>
      <c r="M826" s="4"/>
    </row>
    <row r="827" ht="12.75" customHeight="1">
      <c r="F827" s="4"/>
      <c r="G827" s="4"/>
      <c r="H827" s="4"/>
      <c r="I827" s="4"/>
      <c r="J827" s="4"/>
      <c r="K827" s="4"/>
      <c r="L827" s="4"/>
      <c r="M827" s="4"/>
    </row>
    <row r="828" ht="12.75" customHeight="1">
      <c r="F828" s="4"/>
      <c r="G828" s="4"/>
      <c r="H828" s="4"/>
      <c r="I828" s="4"/>
      <c r="J828" s="4"/>
      <c r="K828" s="4"/>
      <c r="L828" s="4"/>
      <c r="M828" s="4"/>
    </row>
    <row r="829" ht="12.75" customHeight="1">
      <c r="F829" s="4"/>
      <c r="G829" s="4"/>
      <c r="H829" s="4"/>
      <c r="I829" s="4"/>
      <c r="J829" s="4"/>
      <c r="K829" s="4"/>
      <c r="L829" s="4"/>
      <c r="M829" s="4"/>
    </row>
    <row r="830" ht="12.75" customHeight="1">
      <c r="F830" s="4"/>
      <c r="G830" s="4"/>
      <c r="H830" s="4"/>
      <c r="I830" s="4"/>
      <c r="J830" s="4"/>
      <c r="K830" s="4"/>
      <c r="L830" s="4"/>
      <c r="M830" s="4"/>
    </row>
    <row r="831" ht="12.75" customHeight="1">
      <c r="F831" s="4"/>
      <c r="G831" s="4"/>
      <c r="H831" s="4"/>
      <c r="I831" s="4"/>
      <c r="J831" s="4"/>
      <c r="K831" s="4"/>
      <c r="L831" s="4"/>
      <c r="M831" s="4"/>
    </row>
    <row r="832" ht="12.75" customHeight="1">
      <c r="F832" s="4"/>
      <c r="G832" s="4"/>
      <c r="H832" s="4"/>
      <c r="I832" s="4"/>
      <c r="J832" s="4"/>
      <c r="K832" s="4"/>
      <c r="L832" s="4"/>
      <c r="M832" s="4"/>
    </row>
    <row r="833" ht="12.75" customHeight="1">
      <c r="F833" s="4"/>
      <c r="G833" s="4"/>
      <c r="H833" s="4"/>
      <c r="I833" s="4"/>
      <c r="J833" s="4"/>
      <c r="K833" s="4"/>
      <c r="L833" s="4"/>
      <c r="M833" s="4"/>
    </row>
    <row r="834" ht="12.75" customHeight="1">
      <c r="F834" s="4"/>
      <c r="G834" s="4"/>
      <c r="H834" s="4"/>
      <c r="I834" s="4"/>
      <c r="J834" s="4"/>
      <c r="K834" s="4"/>
      <c r="L834" s="4"/>
      <c r="M834" s="4"/>
    </row>
    <row r="835" ht="12.75" customHeight="1">
      <c r="F835" s="4"/>
      <c r="G835" s="4"/>
      <c r="H835" s="4"/>
      <c r="I835" s="4"/>
      <c r="J835" s="4"/>
      <c r="K835" s="4"/>
      <c r="L835" s="4"/>
      <c r="M835" s="4"/>
    </row>
    <row r="836" ht="12.75" customHeight="1">
      <c r="F836" s="4"/>
      <c r="G836" s="4"/>
      <c r="H836" s="4"/>
      <c r="I836" s="4"/>
      <c r="J836" s="4"/>
      <c r="K836" s="4"/>
      <c r="L836" s="4"/>
      <c r="M836" s="4"/>
    </row>
    <row r="837" ht="12.75" customHeight="1">
      <c r="F837" s="4"/>
      <c r="G837" s="4"/>
      <c r="H837" s="4"/>
      <c r="I837" s="4"/>
      <c r="J837" s="4"/>
      <c r="K837" s="4"/>
      <c r="L837" s="4"/>
      <c r="M837" s="4"/>
    </row>
    <row r="838" ht="12.75" customHeight="1">
      <c r="F838" s="4"/>
      <c r="G838" s="4"/>
      <c r="H838" s="4"/>
      <c r="I838" s="4"/>
      <c r="J838" s="4"/>
      <c r="K838" s="4"/>
      <c r="L838" s="4"/>
      <c r="M838" s="4"/>
    </row>
    <row r="839" ht="12.75" customHeight="1">
      <c r="F839" s="4"/>
      <c r="G839" s="4"/>
      <c r="H839" s="4"/>
      <c r="I839" s="4"/>
      <c r="J839" s="4"/>
      <c r="K839" s="4"/>
      <c r="L839" s="4"/>
      <c r="M839" s="4"/>
    </row>
    <row r="840" ht="12.75" customHeight="1">
      <c r="F840" s="4"/>
      <c r="G840" s="4"/>
      <c r="H840" s="4"/>
      <c r="I840" s="4"/>
      <c r="J840" s="4"/>
      <c r="K840" s="4"/>
      <c r="L840" s="4"/>
      <c r="M840" s="4"/>
    </row>
    <row r="841" ht="12.75" customHeight="1">
      <c r="F841" s="4"/>
      <c r="G841" s="4"/>
      <c r="H841" s="4"/>
      <c r="I841" s="4"/>
      <c r="J841" s="4"/>
      <c r="K841" s="4"/>
      <c r="L841" s="4"/>
      <c r="M841" s="4"/>
    </row>
    <row r="842" ht="12.75" customHeight="1">
      <c r="F842" s="4"/>
      <c r="G842" s="4"/>
      <c r="H842" s="4"/>
      <c r="I842" s="4"/>
      <c r="J842" s="4"/>
      <c r="K842" s="4"/>
      <c r="L842" s="4"/>
      <c r="M842" s="4"/>
    </row>
    <row r="843" ht="12.75" customHeight="1">
      <c r="F843" s="4"/>
      <c r="G843" s="4"/>
      <c r="H843" s="4"/>
      <c r="I843" s="4"/>
      <c r="J843" s="4"/>
      <c r="K843" s="4"/>
      <c r="L843" s="4"/>
      <c r="M843" s="4"/>
    </row>
    <row r="844" ht="12.75" customHeight="1">
      <c r="F844" s="4"/>
      <c r="G844" s="4"/>
      <c r="H844" s="4"/>
      <c r="I844" s="4"/>
      <c r="J844" s="4"/>
      <c r="K844" s="4"/>
      <c r="L844" s="4"/>
      <c r="M844" s="4"/>
    </row>
    <row r="845" ht="12.75" customHeight="1">
      <c r="F845" s="4"/>
      <c r="G845" s="4"/>
      <c r="H845" s="4"/>
      <c r="I845" s="4"/>
      <c r="J845" s="4"/>
      <c r="K845" s="4"/>
      <c r="L845" s="4"/>
      <c r="M845" s="4"/>
    </row>
    <row r="846" ht="12.75" customHeight="1">
      <c r="F846" s="4"/>
      <c r="G846" s="4"/>
      <c r="H846" s="4"/>
      <c r="I846" s="4"/>
      <c r="J846" s="4"/>
      <c r="K846" s="4"/>
      <c r="L846" s="4"/>
      <c r="M846" s="4"/>
    </row>
    <row r="847" ht="12.75" customHeight="1">
      <c r="F847" s="4"/>
      <c r="G847" s="4"/>
      <c r="H847" s="4"/>
      <c r="I847" s="4"/>
      <c r="J847" s="4"/>
      <c r="K847" s="4"/>
      <c r="L847" s="4"/>
      <c r="M847" s="4"/>
    </row>
    <row r="848" ht="12.75" customHeight="1">
      <c r="F848" s="4"/>
      <c r="G848" s="4"/>
      <c r="H848" s="4"/>
      <c r="I848" s="4"/>
      <c r="J848" s="4"/>
      <c r="K848" s="4"/>
      <c r="L848" s="4"/>
      <c r="M848" s="4"/>
    </row>
    <row r="849" ht="12.75" customHeight="1">
      <c r="F849" s="4"/>
      <c r="G849" s="4"/>
      <c r="H849" s="4"/>
      <c r="I849" s="4"/>
      <c r="J849" s="4"/>
      <c r="K849" s="4"/>
      <c r="L849" s="4"/>
      <c r="M849" s="4"/>
    </row>
    <row r="850" ht="12.75" customHeight="1">
      <c r="F850" s="4"/>
      <c r="G850" s="4"/>
      <c r="H850" s="4"/>
      <c r="I850" s="4"/>
      <c r="J850" s="4"/>
      <c r="K850" s="4"/>
      <c r="L850" s="4"/>
      <c r="M850" s="4"/>
    </row>
    <row r="851" ht="12.75" customHeight="1">
      <c r="F851" s="4"/>
      <c r="G851" s="4"/>
      <c r="H851" s="4"/>
      <c r="I851" s="4"/>
      <c r="J851" s="4"/>
      <c r="K851" s="4"/>
      <c r="L851" s="4"/>
      <c r="M851" s="4"/>
    </row>
    <row r="852" ht="12.75" customHeight="1">
      <c r="F852" s="4"/>
      <c r="G852" s="4"/>
      <c r="H852" s="4"/>
      <c r="I852" s="4"/>
      <c r="J852" s="4"/>
      <c r="K852" s="4"/>
      <c r="L852" s="4"/>
      <c r="M852" s="4"/>
    </row>
    <row r="853" ht="12.75" customHeight="1">
      <c r="F853" s="4"/>
      <c r="G853" s="4"/>
      <c r="H853" s="4"/>
      <c r="I853" s="4"/>
      <c r="J853" s="4"/>
      <c r="K853" s="4"/>
      <c r="L853" s="4"/>
      <c r="M853" s="4"/>
    </row>
    <row r="854" ht="12.75" customHeight="1">
      <c r="F854" s="4"/>
      <c r="G854" s="4"/>
      <c r="H854" s="4"/>
      <c r="I854" s="4"/>
      <c r="J854" s="4"/>
      <c r="K854" s="4"/>
      <c r="L854" s="4"/>
      <c r="M854" s="4"/>
    </row>
    <row r="855" ht="12.75" customHeight="1">
      <c r="F855" s="4"/>
      <c r="G855" s="4"/>
      <c r="H855" s="4"/>
      <c r="I855" s="4"/>
      <c r="J855" s="4"/>
      <c r="K855" s="4"/>
      <c r="L855" s="4"/>
      <c r="M855" s="4"/>
    </row>
    <row r="856" ht="12.75" customHeight="1">
      <c r="F856" s="4"/>
      <c r="G856" s="4"/>
      <c r="H856" s="4"/>
      <c r="I856" s="4"/>
      <c r="J856" s="4"/>
      <c r="K856" s="4"/>
      <c r="L856" s="4"/>
      <c r="M856" s="4"/>
    </row>
    <row r="857" ht="12.75" customHeight="1">
      <c r="F857" s="4"/>
      <c r="G857" s="4"/>
      <c r="H857" s="4"/>
      <c r="I857" s="4"/>
      <c r="J857" s="4"/>
      <c r="K857" s="4"/>
      <c r="L857" s="4"/>
      <c r="M857" s="4"/>
    </row>
    <row r="858" ht="12.75" customHeight="1">
      <c r="F858" s="4"/>
      <c r="G858" s="4"/>
      <c r="H858" s="4"/>
      <c r="I858" s="4"/>
      <c r="J858" s="4"/>
      <c r="K858" s="4"/>
      <c r="L858" s="4"/>
      <c r="M858" s="4"/>
    </row>
    <row r="859" ht="12.75" customHeight="1">
      <c r="F859" s="4"/>
      <c r="G859" s="4"/>
      <c r="H859" s="4"/>
      <c r="I859" s="4"/>
      <c r="J859" s="4"/>
      <c r="K859" s="4"/>
      <c r="L859" s="4"/>
      <c r="M859" s="4"/>
    </row>
    <row r="860" ht="12.75" customHeight="1">
      <c r="F860" s="4"/>
      <c r="G860" s="4"/>
      <c r="H860" s="4"/>
      <c r="I860" s="4"/>
      <c r="J860" s="4"/>
      <c r="K860" s="4"/>
      <c r="L860" s="4"/>
      <c r="M860" s="4"/>
    </row>
    <row r="861" ht="12.75" customHeight="1">
      <c r="F861" s="4"/>
      <c r="G861" s="4"/>
      <c r="H861" s="4"/>
      <c r="I861" s="4"/>
      <c r="J861" s="4"/>
      <c r="K861" s="4"/>
      <c r="L861" s="4"/>
      <c r="M861" s="4"/>
    </row>
    <row r="862" ht="12.75" customHeight="1">
      <c r="F862" s="4"/>
      <c r="G862" s="4"/>
      <c r="H862" s="4"/>
      <c r="I862" s="4"/>
      <c r="J862" s="4"/>
      <c r="K862" s="4"/>
      <c r="L862" s="4"/>
      <c r="M862" s="4"/>
    </row>
    <row r="863" ht="12.75" customHeight="1">
      <c r="F863" s="4"/>
      <c r="G863" s="4"/>
      <c r="H863" s="4"/>
      <c r="I863" s="4"/>
      <c r="J863" s="4"/>
      <c r="K863" s="4"/>
      <c r="L863" s="4"/>
      <c r="M863" s="4"/>
    </row>
    <row r="864" ht="12.75" customHeight="1">
      <c r="F864" s="4"/>
      <c r="G864" s="4"/>
      <c r="H864" s="4"/>
      <c r="I864" s="4"/>
      <c r="J864" s="4"/>
      <c r="K864" s="4"/>
      <c r="L864" s="4"/>
      <c r="M864" s="4"/>
    </row>
    <row r="865" ht="12.75" customHeight="1">
      <c r="F865" s="4"/>
      <c r="G865" s="4"/>
      <c r="H865" s="4"/>
      <c r="I865" s="4"/>
      <c r="J865" s="4"/>
      <c r="K865" s="4"/>
      <c r="L865" s="4"/>
      <c r="M865" s="4"/>
    </row>
    <row r="866" ht="12.75" customHeight="1">
      <c r="F866" s="4"/>
      <c r="G866" s="4"/>
      <c r="H866" s="4"/>
      <c r="I866" s="4"/>
      <c r="J866" s="4"/>
      <c r="K866" s="4"/>
      <c r="L866" s="4"/>
      <c r="M866" s="4"/>
    </row>
    <row r="867" ht="12.75" customHeight="1">
      <c r="F867" s="4"/>
      <c r="G867" s="4"/>
      <c r="H867" s="4"/>
      <c r="I867" s="4"/>
      <c r="J867" s="4"/>
      <c r="K867" s="4"/>
      <c r="L867" s="4"/>
      <c r="M867" s="4"/>
    </row>
    <row r="868" ht="12.75" customHeight="1">
      <c r="F868" s="4"/>
      <c r="G868" s="4"/>
      <c r="H868" s="4"/>
      <c r="I868" s="4"/>
      <c r="J868" s="4"/>
      <c r="K868" s="4"/>
      <c r="L868" s="4"/>
      <c r="M868" s="4"/>
    </row>
    <row r="869" ht="12.75" customHeight="1">
      <c r="F869" s="4"/>
      <c r="G869" s="4"/>
      <c r="H869" s="4"/>
      <c r="I869" s="4"/>
      <c r="J869" s="4"/>
      <c r="K869" s="4"/>
      <c r="L869" s="4"/>
      <c r="M869" s="4"/>
    </row>
    <row r="870" ht="12.75" customHeight="1">
      <c r="F870" s="4"/>
      <c r="G870" s="4"/>
      <c r="H870" s="4"/>
      <c r="I870" s="4"/>
      <c r="J870" s="4"/>
      <c r="K870" s="4"/>
      <c r="L870" s="4"/>
      <c r="M870" s="4"/>
    </row>
    <row r="871" ht="12.75" customHeight="1">
      <c r="F871" s="4"/>
      <c r="G871" s="4"/>
      <c r="H871" s="4"/>
      <c r="I871" s="4"/>
      <c r="J871" s="4"/>
      <c r="K871" s="4"/>
      <c r="L871" s="4"/>
      <c r="M871" s="4"/>
    </row>
    <row r="872" ht="12.75" customHeight="1">
      <c r="F872" s="4"/>
      <c r="G872" s="4"/>
      <c r="H872" s="4"/>
      <c r="I872" s="4"/>
      <c r="J872" s="4"/>
      <c r="K872" s="4"/>
      <c r="L872" s="4"/>
      <c r="M872" s="4"/>
    </row>
    <row r="873" ht="12.75" customHeight="1">
      <c r="F873" s="4"/>
      <c r="G873" s="4"/>
      <c r="H873" s="4"/>
      <c r="I873" s="4"/>
      <c r="J873" s="4"/>
      <c r="K873" s="4"/>
      <c r="L873" s="4"/>
      <c r="M873" s="4"/>
    </row>
    <row r="874" ht="12.75" customHeight="1">
      <c r="F874" s="4"/>
      <c r="G874" s="4"/>
      <c r="H874" s="4"/>
      <c r="I874" s="4"/>
      <c r="J874" s="4"/>
      <c r="K874" s="4"/>
      <c r="L874" s="4"/>
      <c r="M874" s="4"/>
    </row>
    <row r="875" ht="12.75" customHeight="1">
      <c r="F875" s="4"/>
      <c r="G875" s="4"/>
      <c r="H875" s="4"/>
      <c r="I875" s="4"/>
      <c r="J875" s="4"/>
      <c r="K875" s="4"/>
      <c r="L875" s="4"/>
      <c r="M875" s="4"/>
    </row>
    <row r="876" ht="12.75" customHeight="1">
      <c r="F876" s="4"/>
      <c r="G876" s="4"/>
      <c r="H876" s="4"/>
      <c r="I876" s="4"/>
      <c r="J876" s="4"/>
      <c r="K876" s="4"/>
      <c r="L876" s="4"/>
      <c r="M876" s="4"/>
    </row>
    <row r="877" ht="12.75" customHeight="1">
      <c r="F877" s="4"/>
      <c r="G877" s="4"/>
      <c r="H877" s="4"/>
      <c r="I877" s="4"/>
      <c r="J877" s="4"/>
      <c r="K877" s="4"/>
      <c r="L877" s="4"/>
      <c r="M877" s="4"/>
    </row>
    <row r="878" ht="12.75" customHeight="1">
      <c r="F878" s="4"/>
      <c r="G878" s="4"/>
      <c r="H878" s="4"/>
      <c r="I878" s="4"/>
      <c r="J878" s="4"/>
      <c r="K878" s="4"/>
      <c r="L878" s="4"/>
      <c r="M878" s="4"/>
    </row>
    <row r="879" ht="12.75" customHeight="1">
      <c r="F879" s="4"/>
      <c r="G879" s="4"/>
      <c r="H879" s="4"/>
      <c r="I879" s="4"/>
      <c r="J879" s="4"/>
      <c r="K879" s="4"/>
      <c r="L879" s="4"/>
      <c r="M879" s="4"/>
    </row>
    <row r="880" ht="12.75" customHeight="1">
      <c r="F880" s="4"/>
      <c r="G880" s="4"/>
      <c r="H880" s="4"/>
      <c r="I880" s="4"/>
      <c r="J880" s="4"/>
      <c r="K880" s="4"/>
      <c r="L880" s="4"/>
      <c r="M880" s="4"/>
    </row>
    <row r="881" ht="12.75" customHeight="1">
      <c r="F881" s="4"/>
      <c r="G881" s="4"/>
      <c r="H881" s="4"/>
      <c r="I881" s="4"/>
      <c r="J881" s="4"/>
      <c r="K881" s="4"/>
      <c r="L881" s="4"/>
      <c r="M881" s="4"/>
    </row>
    <row r="882" ht="12.75" customHeight="1">
      <c r="F882" s="4"/>
      <c r="G882" s="4"/>
      <c r="H882" s="4"/>
      <c r="I882" s="4"/>
      <c r="J882" s="4"/>
      <c r="K882" s="4"/>
      <c r="L882" s="4"/>
      <c r="M882" s="4"/>
    </row>
    <row r="883" ht="12.75" customHeight="1">
      <c r="F883" s="4"/>
      <c r="G883" s="4"/>
      <c r="H883" s="4"/>
      <c r="I883" s="4"/>
      <c r="J883" s="4"/>
      <c r="K883" s="4"/>
      <c r="L883" s="4"/>
      <c r="M883" s="4"/>
    </row>
    <row r="884" ht="12.75" customHeight="1">
      <c r="F884" s="4"/>
      <c r="G884" s="4"/>
      <c r="H884" s="4"/>
      <c r="I884" s="4"/>
      <c r="J884" s="4"/>
      <c r="K884" s="4"/>
      <c r="L884" s="4"/>
      <c r="M884" s="4"/>
    </row>
    <row r="885" ht="12.75" customHeight="1">
      <c r="F885" s="4"/>
      <c r="G885" s="4"/>
      <c r="H885" s="4"/>
      <c r="I885" s="4"/>
      <c r="J885" s="4"/>
      <c r="K885" s="4"/>
      <c r="L885" s="4"/>
      <c r="M885" s="4"/>
    </row>
    <row r="886" ht="12.75" customHeight="1">
      <c r="F886" s="4"/>
      <c r="G886" s="4"/>
      <c r="H886" s="4"/>
      <c r="I886" s="4"/>
      <c r="J886" s="4"/>
      <c r="K886" s="4"/>
      <c r="L886" s="4"/>
      <c r="M886" s="4"/>
    </row>
    <row r="887" ht="12.75" customHeight="1">
      <c r="F887" s="4"/>
      <c r="G887" s="4"/>
      <c r="H887" s="4"/>
      <c r="I887" s="4"/>
      <c r="J887" s="4"/>
      <c r="K887" s="4"/>
      <c r="L887" s="4"/>
      <c r="M887" s="4"/>
    </row>
    <row r="888" ht="12.75" customHeight="1">
      <c r="F888" s="4"/>
      <c r="G888" s="4"/>
      <c r="H888" s="4"/>
      <c r="I888" s="4"/>
      <c r="J888" s="4"/>
      <c r="K888" s="4"/>
      <c r="L888" s="4"/>
      <c r="M888" s="4"/>
    </row>
    <row r="889" ht="12.75" customHeight="1">
      <c r="F889" s="4"/>
      <c r="G889" s="4"/>
      <c r="H889" s="4"/>
      <c r="I889" s="4"/>
      <c r="J889" s="4"/>
      <c r="K889" s="4"/>
      <c r="L889" s="4"/>
      <c r="M889" s="4"/>
    </row>
    <row r="890" ht="12.75" customHeight="1">
      <c r="F890" s="4"/>
      <c r="G890" s="4"/>
      <c r="H890" s="4"/>
      <c r="I890" s="4"/>
      <c r="J890" s="4"/>
      <c r="K890" s="4"/>
      <c r="L890" s="4"/>
      <c r="M890" s="4"/>
    </row>
    <row r="891" ht="12.75" customHeight="1">
      <c r="F891" s="4"/>
      <c r="G891" s="4"/>
      <c r="H891" s="4"/>
      <c r="I891" s="4"/>
      <c r="J891" s="4"/>
      <c r="K891" s="4"/>
      <c r="L891" s="4"/>
      <c r="M891" s="4"/>
    </row>
    <row r="892" ht="12.75" customHeight="1">
      <c r="F892" s="4"/>
      <c r="G892" s="4"/>
      <c r="H892" s="4"/>
      <c r="I892" s="4"/>
      <c r="J892" s="4"/>
      <c r="K892" s="4"/>
      <c r="L892" s="4"/>
      <c r="M892" s="4"/>
    </row>
    <row r="893" ht="12.75" customHeight="1">
      <c r="F893" s="4"/>
      <c r="G893" s="4"/>
      <c r="H893" s="4"/>
      <c r="I893" s="4"/>
      <c r="J893" s="4"/>
      <c r="K893" s="4"/>
      <c r="L893" s="4"/>
      <c r="M893" s="4"/>
    </row>
    <row r="894" ht="12.75" customHeight="1">
      <c r="F894" s="4"/>
      <c r="G894" s="4"/>
      <c r="H894" s="4"/>
      <c r="I894" s="4"/>
      <c r="J894" s="4"/>
      <c r="K894" s="4"/>
      <c r="L894" s="4"/>
      <c r="M894" s="4"/>
    </row>
    <row r="895" ht="12.75" customHeight="1">
      <c r="F895" s="4"/>
      <c r="G895" s="4"/>
      <c r="H895" s="4"/>
      <c r="I895" s="4"/>
      <c r="J895" s="4"/>
      <c r="K895" s="4"/>
      <c r="L895" s="4"/>
      <c r="M895" s="4"/>
    </row>
    <row r="896" ht="12.75" customHeight="1">
      <c r="F896" s="4"/>
      <c r="G896" s="4"/>
      <c r="H896" s="4"/>
      <c r="I896" s="4"/>
      <c r="J896" s="4"/>
      <c r="K896" s="4"/>
      <c r="L896" s="4"/>
      <c r="M896" s="4"/>
    </row>
    <row r="897" ht="12.75" customHeight="1">
      <c r="F897" s="4"/>
      <c r="G897" s="4"/>
      <c r="H897" s="4"/>
      <c r="I897" s="4"/>
      <c r="J897" s="4"/>
      <c r="K897" s="4"/>
      <c r="L897" s="4"/>
      <c r="M897" s="4"/>
    </row>
    <row r="898" ht="12.75" customHeight="1">
      <c r="F898" s="4"/>
      <c r="G898" s="4"/>
      <c r="H898" s="4"/>
      <c r="I898" s="4"/>
      <c r="J898" s="4"/>
      <c r="K898" s="4"/>
      <c r="L898" s="4"/>
      <c r="M898" s="4"/>
    </row>
    <row r="899" ht="12.75" customHeight="1">
      <c r="F899" s="4"/>
      <c r="G899" s="4"/>
      <c r="H899" s="4"/>
      <c r="I899" s="4"/>
      <c r="J899" s="4"/>
      <c r="K899" s="4"/>
      <c r="L899" s="4"/>
      <c r="M899" s="4"/>
    </row>
    <row r="900" ht="12.75" customHeight="1">
      <c r="F900" s="4"/>
      <c r="G900" s="4"/>
      <c r="H900" s="4"/>
      <c r="I900" s="4"/>
      <c r="J900" s="4"/>
      <c r="K900" s="4"/>
      <c r="L900" s="4"/>
      <c r="M900" s="4"/>
    </row>
    <row r="901" ht="12.75" customHeight="1">
      <c r="F901" s="4"/>
      <c r="G901" s="4"/>
      <c r="H901" s="4"/>
      <c r="I901" s="4"/>
      <c r="J901" s="4"/>
      <c r="K901" s="4"/>
      <c r="L901" s="4"/>
      <c r="M901" s="4"/>
    </row>
    <row r="902" ht="12.75" customHeight="1">
      <c r="F902" s="4"/>
      <c r="G902" s="4"/>
      <c r="H902" s="4"/>
      <c r="I902" s="4"/>
      <c r="J902" s="4"/>
      <c r="K902" s="4"/>
      <c r="L902" s="4"/>
      <c r="M902" s="4"/>
    </row>
    <row r="903" ht="12.75" customHeight="1">
      <c r="F903" s="4"/>
      <c r="G903" s="4"/>
      <c r="H903" s="4"/>
      <c r="I903" s="4"/>
      <c r="J903" s="4"/>
      <c r="K903" s="4"/>
      <c r="L903" s="4"/>
      <c r="M903" s="4"/>
    </row>
    <row r="904" ht="12.75" customHeight="1">
      <c r="F904" s="4"/>
      <c r="G904" s="4"/>
      <c r="H904" s="4"/>
      <c r="I904" s="4"/>
      <c r="J904" s="4"/>
      <c r="K904" s="4"/>
      <c r="L904" s="4"/>
      <c r="M904" s="4"/>
    </row>
    <row r="905" ht="12.75" customHeight="1">
      <c r="F905" s="4"/>
      <c r="G905" s="4"/>
      <c r="H905" s="4"/>
      <c r="I905" s="4"/>
      <c r="J905" s="4"/>
      <c r="K905" s="4"/>
      <c r="L905" s="4"/>
      <c r="M905" s="4"/>
    </row>
    <row r="906" ht="12.75" customHeight="1">
      <c r="F906" s="4"/>
      <c r="G906" s="4"/>
      <c r="H906" s="4"/>
      <c r="I906" s="4"/>
      <c r="J906" s="4"/>
      <c r="K906" s="4"/>
      <c r="L906" s="4"/>
      <c r="M906" s="4"/>
    </row>
    <row r="907" ht="12.75" customHeight="1">
      <c r="F907" s="4"/>
      <c r="G907" s="4"/>
      <c r="H907" s="4"/>
      <c r="I907" s="4"/>
      <c r="J907" s="4"/>
      <c r="K907" s="4"/>
      <c r="L907" s="4"/>
      <c r="M907" s="4"/>
    </row>
    <row r="908" ht="12.75" customHeight="1">
      <c r="F908" s="4"/>
      <c r="G908" s="4"/>
      <c r="H908" s="4"/>
      <c r="I908" s="4"/>
      <c r="J908" s="4"/>
      <c r="K908" s="4"/>
      <c r="L908" s="4"/>
      <c r="M908" s="4"/>
    </row>
    <row r="909" ht="12.75" customHeight="1">
      <c r="F909" s="4"/>
      <c r="G909" s="4"/>
      <c r="H909" s="4"/>
      <c r="I909" s="4"/>
      <c r="J909" s="4"/>
      <c r="K909" s="4"/>
      <c r="L909" s="4"/>
      <c r="M909" s="4"/>
    </row>
    <row r="910" ht="12.75" customHeight="1">
      <c r="F910" s="4"/>
      <c r="G910" s="4"/>
      <c r="H910" s="4"/>
      <c r="I910" s="4"/>
      <c r="J910" s="4"/>
      <c r="K910" s="4"/>
      <c r="L910" s="4"/>
      <c r="M910" s="4"/>
    </row>
    <row r="911" ht="12.75" customHeight="1">
      <c r="F911" s="4"/>
      <c r="G911" s="4"/>
      <c r="H911" s="4"/>
      <c r="I911" s="4"/>
      <c r="J911" s="4"/>
      <c r="K911" s="4"/>
      <c r="L911" s="4"/>
      <c r="M911" s="4"/>
    </row>
    <row r="912" ht="12.75" customHeight="1">
      <c r="F912" s="4"/>
      <c r="G912" s="4"/>
      <c r="H912" s="4"/>
      <c r="I912" s="4"/>
      <c r="J912" s="4"/>
      <c r="K912" s="4"/>
      <c r="L912" s="4"/>
      <c r="M912" s="4"/>
    </row>
    <row r="913" ht="12.75" customHeight="1">
      <c r="F913" s="4"/>
      <c r="G913" s="4"/>
      <c r="H913" s="4"/>
      <c r="I913" s="4"/>
      <c r="J913" s="4"/>
      <c r="K913" s="4"/>
      <c r="L913" s="4"/>
      <c r="M913" s="4"/>
    </row>
    <row r="914" ht="12.75" customHeight="1">
      <c r="F914" s="4"/>
      <c r="G914" s="4"/>
      <c r="H914" s="4"/>
      <c r="I914" s="4"/>
      <c r="J914" s="4"/>
      <c r="K914" s="4"/>
      <c r="L914" s="4"/>
      <c r="M914" s="4"/>
    </row>
    <row r="915" ht="12.75" customHeight="1">
      <c r="F915" s="4"/>
      <c r="G915" s="4"/>
      <c r="H915" s="4"/>
      <c r="I915" s="4"/>
      <c r="J915" s="4"/>
      <c r="K915" s="4"/>
      <c r="L915" s="4"/>
      <c r="M915" s="4"/>
    </row>
    <row r="916" ht="12.75" customHeight="1">
      <c r="F916" s="4"/>
      <c r="G916" s="4"/>
      <c r="H916" s="4"/>
      <c r="I916" s="4"/>
      <c r="J916" s="4"/>
      <c r="K916" s="4"/>
      <c r="L916" s="4"/>
      <c r="M916" s="4"/>
    </row>
    <row r="917" ht="12.75" customHeight="1">
      <c r="F917" s="4"/>
      <c r="G917" s="4"/>
      <c r="H917" s="4"/>
      <c r="I917" s="4"/>
      <c r="J917" s="4"/>
      <c r="K917" s="4"/>
      <c r="L917" s="4"/>
      <c r="M917" s="4"/>
    </row>
    <row r="918" ht="12.75" customHeight="1">
      <c r="F918" s="4"/>
      <c r="G918" s="4"/>
      <c r="H918" s="4"/>
      <c r="I918" s="4"/>
      <c r="J918" s="4"/>
      <c r="K918" s="4"/>
      <c r="L918" s="4"/>
      <c r="M918" s="4"/>
    </row>
    <row r="919" ht="12.75" customHeight="1">
      <c r="F919" s="4"/>
      <c r="G919" s="4"/>
      <c r="H919" s="4"/>
      <c r="I919" s="4"/>
      <c r="J919" s="4"/>
      <c r="K919" s="4"/>
      <c r="L919" s="4"/>
      <c r="M919" s="4"/>
    </row>
    <row r="920" ht="12.75" customHeight="1">
      <c r="F920" s="4"/>
      <c r="G920" s="4"/>
      <c r="H920" s="4"/>
      <c r="I920" s="4"/>
      <c r="J920" s="4"/>
      <c r="K920" s="4"/>
      <c r="L920" s="4"/>
      <c r="M920" s="4"/>
    </row>
    <row r="921" ht="12.75" customHeight="1">
      <c r="F921" s="4"/>
      <c r="G921" s="4"/>
      <c r="H921" s="4"/>
      <c r="I921" s="4"/>
      <c r="J921" s="4"/>
      <c r="K921" s="4"/>
      <c r="L921" s="4"/>
      <c r="M921" s="4"/>
    </row>
    <row r="922" ht="12.75" customHeight="1">
      <c r="F922" s="4"/>
      <c r="G922" s="4"/>
      <c r="H922" s="4"/>
      <c r="I922" s="4"/>
      <c r="J922" s="4"/>
      <c r="K922" s="4"/>
      <c r="L922" s="4"/>
      <c r="M922" s="4"/>
    </row>
    <row r="923" ht="12.75" customHeight="1">
      <c r="F923" s="4"/>
      <c r="G923" s="4"/>
      <c r="H923" s="4"/>
      <c r="I923" s="4"/>
      <c r="J923" s="4"/>
      <c r="K923" s="4"/>
      <c r="L923" s="4"/>
      <c r="M923" s="4"/>
    </row>
    <row r="924" ht="12.75" customHeight="1">
      <c r="F924" s="4"/>
      <c r="G924" s="4"/>
      <c r="H924" s="4"/>
      <c r="I924" s="4"/>
      <c r="J924" s="4"/>
      <c r="K924" s="4"/>
      <c r="L924" s="4"/>
      <c r="M924" s="4"/>
    </row>
    <row r="925" ht="12.75" customHeight="1">
      <c r="F925" s="4"/>
      <c r="G925" s="4"/>
      <c r="H925" s="4"/>
      <c r="I925" s="4"/>
      <c r="J925" s="4"/>
      <c r="K925" s="4"/>
      <c r="L925" s="4"/>
      <c r="M925" s="4"/>
    </row>
    <row r="926" ht="12.75" customHeight="1">
      <c r="F926" s="4"/>
      <c r="G926" s="4"/>
      <c r="H926" s="4"/>
      <c r="I926" s="4"/>
      <c r="J926" s="4"/>
      <c r="K926" s="4"/>
      <c r="L926" s="4"/>
      <c r="M926" s="4"/>
    </row>
    <row r="927" ht="12.75" customHeight="1">
      <c r="F927" s="4"/>
      <c r="G927" s="4"/>
      <c r="H927" s="4"/>
      <c r="I927" s="4"/>
      <c r="J927" s="4"/>
      <c r="K927" s="4"/>
      <c r="L927" s="4"/>
      <c r="M927" s="4"/>
    </row>
    <row r="928" ht="12.75" customHeight="1">
      <c r="F928" s="4"/>
      <c r="G928" s="4"/>
      <c r="H928" s="4"/>
      <c r="I928" s="4"/>
      <c r="J928" s="4"/>
      <c r="K928" s="4"/>
      <c r="L928" s="4"/>
      <c r="M928" s="4"/>
    </row>
    <row r="929" ht="12.75" customHeight="1">
      <c r="F929" s="4"/>
      <c r="G929" s="4"/>
      <c r="H929" s="4"/>
      <c r="I929" s="4"/>
      <c r="J929" s="4"/>
      <c r="K929" s="4"/>
      <c r="L929" s="4"/>
      <c r="M929" s="4"/>
    </row>
    <row r="930" ht="12.75" customHeight="1">
      <c r="F930" s="4"/>
      <c r="G930" s="4"/>
      <c r="H930" s="4"/>
      <c r="I930" s="4"/>
      <c r="J930" s="4"/>
      <c r="K930" s="4"/>
      <c r="L930" s="4"/>
      <c r="M930" s="4"/>
    </row>
    <row r="931" ht="12.75" customHeight="1">
      <c r="F931" s="4"/>
      <c r="G931" s="4"/>
      <c r="H931" s="4"/>
      <c r="I931" s="4"/>
      <c r="J931" s="4"/>
      <c r="K931" s="4"/>
      <c r="L931" s="4"/>
      <c r="M931" s="4"/>
    </row>
    <row r="932" ht="12.75" customHeight="1">
      <c r="F932" s="4"/>
      <c r="G932" s="4"/>
      <c r="H932" s="4"/>
      <c r="I932" s="4"/>
      <c r="J932" s="4"/>
      <c r="K932" s="4"/>
      <c r="L932" s="4"/>
      <c r="M932" s="4"/>
    </row>
    <row r="933" ht="12.75" customHeight="1">
      <c r="F933" s="4"/>
      <c r="G933" s="4"/>
      <c r="H933" s="4"/>
      <c r="I933" s="4"/>
      <c r="J933" s="4"/>
      <c r="K933" s="4"/>
      <c r="L933" s="4"/>
      <c r="M933" s="4"/>
    </row>
    <row r="934" ht="12.75" customHeight="1">
      <c r="F934" s="4"/>
      <c r="G934" s="4"/>
      <c r="H934" s="4"/>
      <c r="I934" s="4"/>
      <c r="J934" s="4"/>
      <c r="K934" s="4"/>
      <c r="L934" s="4"/>
      <c r="M934" s="4"/>
    </row>
    <row r="935" ht="12.75" customHeight="1">
      <c r="F935" s="4"/>
      <c r="G935" s="4"/>
      <c r="H935" s="4"/>
      <c r="I935" s="4"/>
      <c r="J935" s="4"/>
      <c r="K935" s="4"/>
      <c r="L935" s="4"/>
      <c r="M935" s="4"/>
    </row>
    <row r="936" ht="12.75" customHeight="1">
      <c r="F936" s="4"/>
      <c r="G936" s="4"/>
      <c r="H936" s="4"/>
      <c r="I936" s="4"/>
      <c r="J936" s="4"/>
      <c r="K936" s="4"/>
      <c r="L936" s="4"/>
      <c r="M936" s="4"/>
    </row>
    <row r="937" ht="12.75" customHeight="1">
      <c r="F937" s="4"/>
      <c r="G937" s="4"/>
      <c r="H937" s="4"/>
      <c r="I937" s="4"/>
      <c r="J937" s="4"/>
      <c r="K937" s="4"/>
      <c r="L937" s="4"/>
      <c r="M937" s="4"/>
    </row>
    <row r="938" ht="12.75" customHeight="1">
      <c r="F938" s="4"/>
      <c r="G938" s="4"/>
      <c r="H938" s="4"/>
      <c r="I938" s="4"/>
      <c r="J938" s="4"/>
      <c r="K938" s="4"/>
      <c r="L938" s="4"/>
      <c r="M938" s="4"/>
    </row>
    <row r="939" ht="12.75" customHeight="1">
      <c r="F939" s="4"/>
      <c r="G939" s="4"/>
      <c r="H939" s="4"/>
      <c r="I939" s="4"/>
      <c r="J939" s="4"/>
      <c r="K939" s="4"/>
      <c r="L939" s="4"/>
      <c r="M939" s="4"/>
    </row>
    <row r="940" ht="12.75" customHeight="1">
      <c r="F940" s="4"/>
      <c r="G940" s="4"/>
      <c r="H940" s="4"/>
      <c r="I940" s="4"/>
      <c r="J940" s="4"/>
      <c r="K940" s="4"/>
      <c r="L940" s="4"/>
      <c r="M940" s="4"/>
    </row>
    <row r="941" ht="12.75" customHeight="1">
      <c r="F941" s="4"/>
      <c r="G941" s="4"/>
      <c r="H941" s="4"/>
      <c r="I941" s="4"/>
      <c r="J941" s="4"/>
      <c r="K941" s="4"/>
      <c r="L941" s="4"/>
      <c r="M941" s="4"/>
    </row>
    <row r="942" ht="12.75" customHeight="1">
      <c r="F942" s="4"/>
      <c r="G942" s="4"/>
      <c r="H942" s="4"/>
      <c r="I942" s="4"/>
      <c r="J942" s="4"/>
      <c r="K942" s="4"/>
      <c r="L942" s="4"/>
      <c r="M942" s="4"/>
    </row>
    <row r="943" ht="12.75" customHeight="1">
      <c r="F943" s="4"/>
      <c r="G943" s="4"/>
      <c r="H943" s="4"/>
      <c r="I943" s="4"/>
      <c r="J943" s="4"/>
      <c r="K943" s="4"/>
      <c r="L943" s="4"/>
      <c r="M943" s="4"/>
    </row>
    <row r="944" ht="12.75" customHeight="1">
      <c r="F944" s="4"/>
      <c r="G944" s="4"/>
      <c r="H944" s="4"/>
      <c r="I944" s="4"/>
      <c r="J944" s="4"/>
      <c r="K944" s="4"/>
      <c r="L944" s="4"/>
      <c r="M944" s="4"/>
    </row>
    <row r="945" ht="12.75" customHeight="1">
      <c r="F945" s="4"/>
      <c r="G945" s="4"/>
      <c r="H945" s="4"/>
      <c r="I945" s="4"/>
      <c r="J945" s="4"/>
      <c r="K945" s="4"/>
      <c r="L945" s="4"/>
      <c r="M945" s="4"/>
    </row>
    <row r="946" ht="12.75" customHeight="1">
      <c r="F946" s="4"/>
      <c r="G946" s="4"/>
      <c r="H946" s="4"/>
      <c r="I946" s="4"/>
      <c r="J946" s="4"/>
      <c r="K946" s="4"/>
      <c r="L946" s="4"/>
      <c r="M946" s="4"/>
    </row>
    <row r="947" ht="12.75" customHeight="1">
      <c r="F947" s="4"/>
      <c r="G947" s="4"/>
      <c r="H947" s="4"/>
      <c r="I947" s="4"/>
      <c r="J947" s="4"/>
      <c r="K947" s="4"/>
      <c r="L947" s="4"/>
      <c r="M947" s="4"/>
    </row>
    <row r="948" ht="12.75" customHeight="1">
      <c r="F948" s="4"/>
      <c r="G948" s="4"/>
      <c r="H948" s="4"/>
      <c r="I948" s="4"/>
      <c r="J948" s="4"/>
      <c r="K948" s="4"/>
      <c r="L948" s="4"/>
      <c r="M948" s="4"/>
    </row>
    <row r="949" ht="12.75" customHeight="1">
      <c r="F949" s="4"/>
      <c r="G949" s="4"/>
      <c r="H949" s="4"/>
      <c r="I949" s="4"/>
      <c r="J949" s="4"/>
      <c r="K949" s="4"/>
      <c r="L949" s="4"/>
      <c r="M949" s="4"/>
    </row>
    <row r="950" ht="12.75" customHeight="1">
      <c r="F950" s="4"/>
      <c r="G950" s="4"/>
      <c r="H950" s="4"/>
      <c r="I950" s="4"/>
      <c r="J950" s="4"/>
      <c r="K950" s="4"/>
      <c r="L950" s="4"/>
      <c r="M950" s="4"/>
    </row>
    <row r="951" ht="12.75" customHeight="1">
      <c r="F951" s="4"/>
      <c r="G951" s="4"/>
      <c r="H951" s="4"/>
      <c r="I951" s="4"/>
      <c r="J951" s="4"/>
      <c r="K951" s="4"/>
      <c r="L951" s="4"/>
      <c r="M951" s="4"/>
    </row>
    <row r="952" ht="12.75" customHeight="1">
      <c r="F952" s="4"/>
      <c r="G952" s="4"/>
      <c r="H952" s="4"/>
      <c r="I952" s="4"/>
      <c r="J952" s="4"/>
      <c r="K952" s="4"/>
      <c r="L952" s="4"/>
      <c r="M952" s="4"/>
    </row>
    <row r="953" ht="12.75" customHeight="1">
      <c r="F953" s="4"/>
      <c r="G953" s="4"/>
      <c r="H953" s="4"/>
      <c r="I953" s="4"/>
      <c r="J953" s="4"/>
      <c r="K953" s="4"/>
      <c r="L953" s="4"/>
      <c r="M953" s="4"/>
    </row>
    <row r="954" ht="12.75" customHeight="1">
      <c r="F954" s="4"/>
      <c r="G954" s="4"/>
      <c r="H954" s="4"/>
      <c r="I954" s="4"/>
      <c r="J954" s="4"/>
      <c r="K954" s="4"/>
      <c r="L954" s="4"/>
      <c r="M954" s="4"/>
    </row>
    <row r="955" ht="12.75" customHeight="1">
      <c r="F955" s="4"/>
      <c r="G955" s="4"/>
      <c r="H955" s="4"/>
      <c r="I955" s="4"/>
      <c r="J955" s="4"/>
      <c r="K955" s="4"/>
      <c r="L955" s="4"/>
      <c r="M955" s="4"/>
    </row>
    <row r="956" ht="12.75" customHeight="1">
      <c r="F956" s="4"/>
      <c r="G956" s="4"/>
      <c r="H956" s="4"/>
      <c r="I956" s="4"/>
      <c r="J956" s="4"/>
      <c r="K956" s="4"/>
      <c r="L956" s="4"/>
      <c r="M956" s="4"/>
    </row>
    <row r="957" ht="12.75" customHeight="1">
      <c r="F957" s="4"/>
      <c r="G957" s="4"/>
      <c r="H957" s="4"/>
      <c r="I957" s="4"/>
      <c r="J957" s="4"/>
      <c r="K957" s="4"/>
      <c r="L957" s="4"/>
      <c r="M957" s="4"/>
    </row>
    <row r="958" ht="12.75" customHeight="1">
      <c r="F958" s="4"/>
      <c r="G958" s="4"/>
      <c r="H958" s="4"/>
      <c r="I958" s="4"/>
      <c r="J958" s="4"/>
      <c r="K958" s="4"/>
      <c r="L958" s="4"/>
      <c r="M958" s="4"/>
    </row>
    <row r="959" ht="12.75" customHeight="1">
      <c r="F959" s="4"/>
      <c r="G959" s="4"/>
      <c r="H959" s="4"/>
      <c r="I959" s="4"/>
      <c r="J959" s="4"/>
      <c r="K959" s="4"/>
      <c r="L959" s="4"/>
      <c r="M959" s="4"/>
    </row>
    <row r="960" ht="12.75" customHeight="1">
      <c r="F960" s="4"/>
      <c r="G960" s="4"/>
      <c r="H960" s="4"/>
      <c r="I960" s="4"/>
      <c r="J960" s="4"/>
      <c r="K960" s="4"/>
      <c r="L960" s="4"/>
      <c r="M960" s="4"/>
    </row>
    <row r="961" ht="12.75" customHeight="1">
      <c r="F961" s="4"/>
      <c r="G961" s="4"/>
      <c r="H961" s="4"/>
      <c r="I961" s="4"/>
      <c r="J961" s="4"/>
      <c r="K961" s="4"/>
      <c r="L961" s="4"/>
      <c r="M961" s="4"/>
    </row>
    <row r="962" ht="12.75" customHeight="1">
      <c r="F962" s="4"/>
      <c r="G962" s="4"/>
      <c r="H962" s="4"/>
      <c r="I962" s="4"/>
      <c r="J962" s="4"/>
      <c r="K962" s="4"/>
      <c r="L962" s="4"/>
      <c r="M962" s="4"/>
    </row>
    <row r="963" ht="12.75" customHeight="1">
      <c r="F963" s="4"/>
      <c r="G963" s="4"/>
      <c r="H963" s="4"/>
      <c r="I963" s="4"/>
      <c r="J963" s="4"/>
      <c r="K963" s="4"/>
      <c r="L963" s="4"/>
      <c r="M963" s="4"/>
    </row>
    <row r="964" ht="12.75" customHeight="1">
      <c r="F964" s="4"/>
      <c r="G964" s="4"/>
      <c r="H964" s="4"/>
      <c r="I964" s="4"/>
      <c r="J964" s="4"/>
      <c r="K964" s="4"/>
      <c r="L964" s="4"/>
      <c r="M964" s="4"/>
    </row>
    <row r="965" ht="12.75" customHeight="1">
      <c r="F965" s="4"/>
      <c r="G965" s="4"/>
      <c r="H965" s="4"/>
      <c r="I965" s="4"/>
      <c r="J965" s="4"/>
      <c r="K965" s="4"/>
      <c r="L965" s="4"/>
      <c r="M965" s="4"/>
    </row>
    <row r="966" ht="12.75" customHeight="1">
      <c r="F966" s="4"/>
      <c r="G966" s="4"/>
      <c r="H966" s="4"/>
      <c r="I966" s="4"/>
      <c r="J966" s="4"/>
      <c r="K966" s="4"/>
      <c r="L966" s="4"/>
      <c r="M966" s="4"/>
    </row>
    <row r="967" ht="12.75" customHeight="1">
      <c r="F967" s="4"/>
      <c r="G967" s="4"/>
      <c r="H967" s="4"/>
      <c r="I967" s="4"/>
      <c r="J967" s="4"/>
      <c r="K967" s="4"/>
      <c r="L967" s="4"/>
      <c r="M967" s="4"/>
    </row>
    <row r="968" ht="12.75" customHeight="1">
      <c r="F968" s="4"/>
      <c r="G968" s="4"/>
      <c r="H968" s="4"/>
      <c r="I968" s="4"/>
      <c r="J968" s="4"/>
      <c r="K968" s="4"/>
      <c r="L968" s="4"/>
      <c r="M968" s="4"/>
    </row>
    <row r="969" ht="12.75" customHeight="1">
      <c r="F969" s="4"/>
      <c r="G969" s="4"/>
      <c r="H969" s="4"/>
      <c r="I969" s="4"/>
      <c r="J969" s="4"/>
      <c r="K969" s="4"/>
      <c r="L969" s="4"/>
      <c r="M969" s="4"/>
    </row>
    <row r="970" ht="12.75" customHeight="1">
      <c r="F970" s="4"/>
      <c r="G970" s="4"/>
      <c r="H970" s="4"/>
      <c r="I970" s="4"/>
      <c r="J970" s="4"/>
      <c r="K970" s="4"/>
      <c r="L970" s="4"/>
      <c r="M970" s="4"/>
    </row>
    <row r="971" ht="12.75" customHeight="1">
      <c r="F971" s="4"/>
      <c r="G971" s="4"/>
      <c r="H971" s="4"/>
      <c r="I971" s="4"/>
      <c r="J971" s="4"/>
      <c r="K971" s="4"/>
      <c r="L971" s="4"/>
      <c r="M971" s="4"/>
    </row>
    <row r="972" ht="12.75" customHeight="1">
      <c r="F972" s="4"/>
      <c r="G972" s="4"/>
      <c r="H972" s="4"/>
      <c r="I972" s="4"/>
      <c r="J972" s="4"/>
      <c r="K972" s="4"/>
      <c r="L972" s="4"/>
      <c r="M972" s="4"/>
    </row>
    <row r="973" ht="12.75" customHeight="1">
      <c r="F973" s="4"/>
      <c r="G973" s="4"/>
      <c r="H973" s="4"/>
      <c r="I973" s="4"/>
      <c r="J973" s="4"/>
      <c r="K973" s="4"/>
      <c r="L973" s="4"/>
      <c r="M973" s="4"/>
    </row>
    <row r="974" ht="12.75" customHeight="1">
      <c r="F974" s="4"/>
      <c r="G974" s="4"/>
      <c r="H974" s="4"/>
      <c r="I974" s="4"/>
      <c r="J974" s="4"/>
      <c r="K974" s="4"/>
      <c r="L974" s="4"/>
      <c r="M974" s="4"/>
    </row>
    <row r="975" ht="12.75" customHeight="1">
      <c r="F975" s="4"/>
      <c r="G975" s="4"/>
      <c r="H975" s="4"/>
      <c r="I975" s="4"/>
      <c r="J975" s="4"/>
      <c r="K975" s="4"/>
      <c r="L975" s="4"/>
      <c r="M975" s="4"/>
    </row>
    <row r="976" ht="12.75" customHeight="1">
      <c r="F976" s="4"/>
      <c r="G976" s="4"/>
      <c r="H976" s="4"/>
      <c r="I976" s="4"/>
      <c r="J976" s="4"/>
      <c r="K976" s="4"/>
      <c r="L976" s="4"/>
      <c r="M976" s="4"/>
    </row>
    <row r="977" ht="12.75" customHeight="1">
      <c r="F977" s="4"/>
      <c r="G977" s="4"/>
      <c r="H977" s="4"/>
      <c r="I977" s="4"/>
      <c r="J977" s="4"/>
      <c r="K977" s="4"/>
      <c r="L977" s="4"/>
      <c r="M977" s="4"/>
    </row>
    <row r="978" ht="12.75" customHeight="1">
      <c r="F978" s="4"/>
      <c r="G978" s="4"/>
      <c r="H978" s="4"/>
      <c r="I978" s="4"/>
      <c r="J978" s="4"/>
      <c r="K978" s="4"/>
      <c r="L978" s="4"/>
      <c r="M978" s="4"/>
    </row>
    <row r="979" ht="12.75" customHeight="1">
      <c r="F979" s="4"/>
      <c r="G979" s="4"/>
      <c r="H979" s="4"/>
      <c r="I979" s="4"/>
      <c r="J979" s="4"/>
      <c r="K979" s="4"/>
      <c r="L979" s="4"/>
      <c r="M979" s="4"/>
    </row>
    <row r="980" ht="12.75" customHeight="1">
      <c r="F980" s="4"/>
      <c r="G980" s="4"/>
      <c r="H980" s="4"/>
      <c r="I980" s="4"/>
      <c r="J980" s="4"/>
      <c r="K980" s="4"/>
      <c r="L980" s="4"/>
      <c r="M980" s="4"/>
    </row>
    <row r="981" ht="12.75" customHeight="1">
      <c r="F981" s="4"/>
      <c r="G981" s="4"/>
      <c r="H981" s="4"/>
      <c r="I981" s="4"/>
      <c r="J981" s="4"/>
      <c r="K981" s="4"/>
      <c r="L981" s="4"/>
      <c r="M981" s="4"/>
    </row>
    <row r="982" ht="12.75" customHeight="1">
      <c r="F982" s="4"/>
      <c r="G982" s="4"/>
      <c r="H982" s="4"/>
      <c r="I982" s="4"/>
      <c r="J982" s="4"/>
      <c r="K982" s="4"/>
      <c r="L982" s="4"/>
      <c r="M982" s="4"/>
    </row>
    <row r="983" ht="12.75" customHeight="1">
      <c r="F983" s="4"/>
      <c r="G983" s="4"/>
      <c r="H983" s="4"/>
      <c r="I983" s="4"/>
      <c r="J983" s="4"/>
      <c r="K983" s="4"/>
      <c r="L983" s="4"/>
      <c r="M983" s="4"/>
    </row>
    <row r="984" ht="12.75" customHeight="1">
      <c r="F984" s="4"/>
      <c r="G984" s="4"/>
      <c r="H984" s="4"/>
      <c r="I984" s="4"/>
      <c r="J984" s="4"/>
      <c r="K984" s="4"/>
      <c r="L984" s="4"/>
      <c r="M984" s="4"/>
    </row>
    <row r="985" ht="12.75" customHeight="1">
      <c r="F985" s="4"/>
      <c r="G985" s="4"/>
      <c r="H985" s="4"/>
      <c r="I985" s="4"/>
      <c r="J985" s="4"/>
      <c r="K985" s="4"/>
      <c r="L985" s="4"/>
      <c r="M985" s="4"/>
    </row>
    <row r="986" ht="12.75" customHeight="1">
      <c r="F986" s="4"/>
      <c r="G986" s="4"/>
      <c r="H986" s="4"/>
      <c r="I986" s="4"/>
      <c r="J986" s="4"/>
      <c r="K986" s="4"/>
      <c r="L986" s="4"/>
      <c r="M986" s="4"/>
    </row>
    <row r="987" ht="12.75" customHeight="1">
      <c r="F987" s="4"/>
      <c r="G987" s="4"/>
      <c r="H987" s="4"/>
      <c r="I987" s="4"/>
      <c r="J987" s="4"/>
      <c r="K987" s="4"/>
      <c r="L987" s="4"/>
      <c r="M987" s="4"/>
    </row>
    <row r="988" ht="12.75" customHeight="1">
      <c r="F988" s="4"/>
      <c r="G988" s="4"/>
      <c r="H988" s="4"/>
      <c r="I988" s="4"/>
      <c r="J988" s="4"/>
      <c r="K988" s="4"/>
      <c r="L988" s="4"/>
      <c r="M988" s="4"/>
    </row>
    <row r="989" ht="12.75" customHeight="1">
      <c r="F989" s="4"/>
      <c r="G989" s="4"/>
      <c r="H989" s="4"/>
      <c r="I989" s="4"/>
      <c r="J989" s="4"/>
      <c r="K989" s="4"/>
      <c r="L989" s="4"/>
      <c r="M989" s="4"/>
    </row>
    <row r="990" ht="12.75" customHeight="1">
      <c r="F990" s="4"/>
      <c r="G990" s="4"/>
      <c r="H990" s="4"/>
      <c r="I990" s="4"/>
      <c r="J990" s="4"/>
      <c r="K990" s="4"/>
      <c r="L990" s="4"/>
      <c r="M990" s="4"/>
    </row>
    <row r="991" ht="12.75" customHeight="1">
      <c r="F991" s="4"/>
      <c r="G991" s="4"/>
      <c r="H991" s="4"/>
      <c r="I991" s="4"/>
      <c r="J991" s="4"/>
      <c r="K991" s="4"/>
      <c r="L991" s="4"/>
      <c r="M991" s="4"/>
    </row>
    <row r="992" ht="12.75" customHeight="1">
      <c r="F992" s="4"/>
      <c r="G992" s="4"/>
      <c r="H992" s="4"/>
      <c r="I992" s="4"/>
      <c r="J992" s="4"/>
      <c r="K992" s="4"/>
      <c r="L992" s="4"/>
      <c r="M992" s="4"/>
    </row>
    <row r="993" ht="12.75" customHeight="1">
      <c r="F993" s="4"/>
      <c r="G993" s="4"/>
      <c r="H993" s="4"/>
      <c r="I993" s="4"/>
      <c r="J993" s="4"/>
      <c r="K993" s="4"/>
      <c r="L993" s="4"/>
      <c r="M993" s="4"/>
    </row>
    <row r="994" ht="12.75" customHeight="1">
      <c r="F994" s="4"/>
      <c r="G994" s="4"/>
      <c r="H994" s="4"/>
      <c r="I994" s="4"/>
      <c r="J994" s="4"/>
      <c r="K994" s="4"/>
      <c r="L994" s="4"/>
      <c r="M994" s="4"/>
    </row>
    <row r="995" ht="12.75" customHeight="1">
      <c r="F995" s="4"/>
      <c r="G995" s="4"/>
      <c r="H995" s="4"/>
      <c r="I995" s="4"/>
      <c r="J995" s="4"/>
      <c r="K995" s="4"/>
      <c r="L995" s="4"/>
      <c r="M995" s="4"/>
    </row>
    <row r="996" ht="12.75" customHeight="1">
      <c r="F996" s="4"/>
      <c r="G996" s="4"/>
      <c r="H996" s="4"/>
      <c r="I996" s="4"/>
      <c r="J996" s="4"/>
      <c r="K996" s="4"/>
      <c r="L996" s="4"/>
      <c r="M996" s="4"/>
    </row>
    <row r="997" ht="12.75" customHeight="1">
      <c r="F997" s="4"/>
      <c r="G997" s="4"/>
      <c r="H997" s="4"/>
      <c r="I997" s="4"/>
      <c r="J997" s="4"/>
      <c r="K997" s="4"/>
      <c r="L997" s="4"/>
      <c r="M997" s="4"/>
    </row>
    <row r="998" ht="12.75" customHeight="1">
      <c r="F998" s="4"/>
      <c r="G998" s="4"/>
      <c r="H998" s="4"/>
      <c r="I998" s="4"/>
      <c r="J998" s="4"/>
      <c r="K998" s="4"/>
      <c r="L998" s="4"/>
      <c r="M998" s="4"/>
    </row>
    <row r="999" ht="12.75" customHeight="1">
      <c r="F999" s="4"/>
      <c r="G999" s="4"/>
      <c r="H999" s="4"/>
      <c r="I999" s="4"/>
      <c r="J999" s="4"/>
      <c r="K999" s="4"/>
      <c r="L999" s="4"/>
      <c r="M999" s="4"/>
    </row>
    <row r="1000" ht="12.75" customHeight="1">
      <c r="F1000" s="4"/>
      <c r="G1000" s="4"/>
      <c r="H1000" s="4"/>
      <c r="I1000" s="4"/>
      <c r="J1000" s="4"/>
      <c r="K1000" s="4"/>
      <c r="L1000" s="4"/>
      <c r="M1000" s="4"/>
    </row>
  </sheetData>
  <mergeCells count="7">
    <mergeCell ref="G4:J4"/>
    <mergeCell ref="G5:H5"/>
    <mergeCell ref="K4:L4"/>
    <mergeCell ref="B3:D3"/>
    <mergeCell ref="B4:D4"/>
    <mergeCell ref="B5:D5"/>
    <mergeCell ref="B6:D6"/>
  </mergeCells>
  <drawing r:id="rId1"/>
</worksheet>
</file>