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WORK\Software\Downloads\Видео\"/>
    </mc:Choice>
  </mc:AlternateContent>
  <bookViews>
    <workbookView xWindow="0" yWindow="0" windowWidth="28800" windowHeight="12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9" i="1"/>
  <c r="B36" i="1"/>
  <c r="B37" i="1" s="1"/>
  <c r="B22" i="1"/>
  <c r="B23" i="1" s="1"/>
  <c r="B21" i="1"/>
  <c r="B20" i="1"/>
  <c r="B115" i="1" l="1"/>
  <c r="B114" i="1"/>
  <c r="B116" i="1" s="1"/>
  <c r="B44" i="1"/>
  <c r="B39" i="1"/>
  <c r="B14" i="1"/>
  <c r="B33" i="1" s="1"/>
  <c r="B47" i="1" s="1"/>
  <c r="B15" i="1"/>
  <c r="B27" i="1"/>
  <c r="B28" i="1" s="1"/>
  <c r="B51" i="1" l="1"/>
  <c r="B12" i="1"/>
  <c r="B11" i="1"/>
  <c r="B8" i="1"/>
  <c r="B9" i="1" s="1"/>
  <c r="B10" i="1" l="1"/>
  <c r="B32" i="1" l="1"/>
  <c r="B41" i="1" l="1"/>
  <c r="B42" i="1" s="1"/>
  <c r="B46" i="1"/>
  <c r="B48" i="1" s="1"/>
  <c r="B52" i="1" s="1"/>
  <c r="B106" i="1" s="1"/>
  <c r="B117" i="1" s="1"/>
  <c r="B40" i="1"/>
  <c r="B53" i="1" l="1"/>
  <c r="B70" i="1" s="1"/>
  <c r="B73" i="1" s="1"/>
  <c r="G117" i="1"/>
  <c r="B118" i="1"/>
  <c r="B57" i="1" l="1"/>
  <c r="B54" i="1"/>
  <c r="B71" i="1" s="1"/>
  <c r="B74" i="1" s="1"/>
  <c r="B55" i="1"/>
  <c r="B59" i="1" s="1"/>
  <c r="G118" i="1"/>
  <c r="E126" i="1"/>
  <c r="I126" i="1" s="1"/>
  <c r="D128" i="1"/>
  <c r="H128" i="1" s="1"/>
  <c r="F127" i="1"/>
  <c r="J127" i="1" s="1"/>
  <c r="F128" i="1"/>
  <c r="J128" i="1" s="1"/>
  <c r="D127" i="1"/>
  <c r="H127" i="1" s="1"/>
  <c r="D126" i="1"/>
  <c r="H126" i="1" s="1"/>
  <c r="F126" i="1"/>
  <c r="J126" i="1" s="1"/>
  <c r="E127" i="1"/>
  <c r="I127" i="1" s="1"/>
  <c r="E128" i="1"/>
  <c r="I128" i="1" s="1"/>
  <c r="B72" i="1" l="1"/>
  <c r="B75" i="1" s="1"/>
  <c r="B58" i="1"/>
</calcChain>
</file>

<file path=xl/sharedStrings.xml><?xml version="1.0" encoding="utf-8"?>
<sst xmlns="http://schemas.openxmlformats.org/spreadsheetml/2006/main" count="300" uniqueCount="192">
  <si>
    <t>Параметры секторного магнита</t>
  </si>
  <si>
    <t>R=</t>
  </si>
  <si>
    <t>r=</t>
  </si>
  <si>
    <t>alpha=</t>
  </si>
  <si>
    <t>S=</t>
  </si>
  <si>
    <t>m</t>
  </si>
  <si>
    <t>deg</t>
  </si>
  <si>
    <t>m2</t>
  </si>
  <si>
    <t>cm2</t>
  </si>
  <si>
    <t>mm2</t>
  </si>
  <si>
    <t>Nm=</t>
  </si>
  <si>
    <t>количество магнитов</t>
  </si>
  <si>
    <t>LR=</t>
  </si>
  <si>
    <t>Lr=</t>
  </si>
  <si>
    <t>длина дуги по наружному диаметру</t>
  </si>
  <si>
    <t>длина дуги по внутреннему диаметру</t>
  </si>
  <si>
    <t>dLr=</t>
  </si>
  <si>
    <t>h=</t>
  </si>
  <si>
    <t>высота магнита</t>
  </si>
  <si>
    <t>t=</t>
  </si>
  <si>
    <t>толщина магнита</t>
  </si>
  <si>
    <t>Dr=</t>
  </si>
  <si>
    <t>DR=</t>
  </si>
  <si>
    <t>внутренний диаметр диска</t>
  </si>
  <si>
    <t>внешний диаметр диска</t>
  </si>
  <si>
    <t>Расчет статора</t>
  </si>
  <si>
    <t>Nk=</t>
  </si>
  <si>
    <t>количество катушек, 2:3</t>
  </si>
  <si>
    <t>hrd=</t>
  </si>
  <si>
    <t>длина хорды нижней половины магнита</t>
  </si>
  <si>
    <t>SecA=</t>
  </si>
  <si>
    <t>град</t>
  </si>
  <si>
    <t>угол сектора катушки</t>
  </si>
  <si>
    <t>длина хорды нижней стороны сектора катушки</t>
  </si>
  <si>
    <t>Klhrd=</t>
  </si>
  <si>
    <t>Kuhrd=</t>
  </si>
  <si>
    <t>длина хорды верхней стороны сектора катушки</t>
  </si>
  <si>
    <t>sigma=</t>
  </si>
  <si>
    <t>поправочный коэффициент качества намотки</t>
  </si>
  <si>
    <t>Kthick=</t>
  </si>
  <si>
    <t>KsideW=</t>
  </si>
  <si>
    <t>N48</t>
  </si>
  <si>
    <t>Коэрцитивная сила</t>
  </si>
  <si>
    <t>Tl (Тесла)</t>
  </si>
  <si>
    <t>kG (кГаусс)</t>
  </si>
  <si>
    <t>kA/m</t>
  </si>
  <si>
    <t>kOe</t>
  </si>
  <si>
    <t>MGOe</t>
  </si>
  <si>
    <t>Kj/m3</t>
  </si>
  <si>
    <t>С</t>
  </si>
  <si>
    <t>N35</t>
  </si>
  <si>
    <t>1,17-1,20</t>
  </si>
  <si>
    <t>11,7-12,0</t>
  </si>
  <si>
    <t>N35M</t>
  </si>
  <si>
    <t>11.7-12,0</t>
  </si>
  <si>
    <t>N35H</t>
  </si>
  <si>
    <t>1,15-1,17</t>
  </si>
  <si>
    <t>11,5-11,7</t>
  </si>
  <si>
    <t>N35SH</t>
  </si>
  <si>
    <t>N35UH</t>
  </si>
  <si>
    <t>N38</t>
  </si>
  <si>
    <t>12,2-12,6</t>
  </si>
  <si>
    <t>N38M</t>
  </si>
  <si>
    <t>1,22-1,26</t>
  </si>
  <si>
    <t>N38H</t>
  </si>
  <si>
    <t>N38SH</t>
  </si>
  <si>
    <t>N38UH</t>
  </si>
  <si>
    <t>N40</t>
  </si>
  <si>
    <t>1,26-1,29</t>
  </si>
  <si>
    <t>12,6-12,9</t>
  </si>
  <si>
    <t>N40M</t>
  </si>
  <si>
    <t>N40H</t>
  </si>
  <si>
    <t>N40SH</t>
  </si>
  <si>
    <t>N40UH</t>
  </si>
  <si>
    <t>N42</t>
  </si>
  <si>
    <t>1,30-1,33</t>
  </si>
  <si>
    <t>13,0-13,3</t>
  </si>
  <si>
    <t>N42M</t>
  </si>
  <si>
    <t>N42H</t>
  </si>
  <si>
    <t>N42SH</t>
  </si>
  <si>
    <t>1,3-1,33</t>
  </si>
  <si>
    <t>N45</t>
  </si>
  <si>
    <t>1,33-1,37</t>
  </si>
  <si>
    <t>13,3-13,7</t>
  </si>
  <si>
    <t>N45M</t>
  </si>
  <si>
    <t>N45H</t>
  </si>
  <si>
    <t>1,36-1,42</t>
  </si>
  <si>
    <t>13,6-14,2</t>
  </si>
  <si>
    <t>N48M</t>
  </si>
  <si>
    <t>N48H</t>
  </si>
  <si>
    <t>N50</t>
  </si>
  <si>
    <t>1,41-1,45</t>
  </si>
  <si>
    <t>14,1-14,5</t>
  </si>
  <si>
    <t>Остаточная магнитная индукция Br</t>
  </si>
  <si>
    <t>(по току) Hcj</t>
  </si>
  <si>
    <t>Максимальное энергетическое произведение (BH) max.</t>
  </si>
  <si>
    <t>Рабочая температура t</t>
  </si>
  <si>
    <t>Марка материала</t>
  </si>
  <si>
    <t>T=</t>
  </si>
  <si>
    <t>Tesla</t>
  </si>
  <si>
    <t>Остаточная магнитная индукция</t>
  </si>
  <si>
    <t>Расчёт диаметра дисков ротора</t>
  </si>
  <si>
    <t>Расчет геометрии катушки</t>
  </si>
  <si>
    <t>средний диаметр по магнитам</t>
  </si>
  <si>
    <t>Dmavg=</t>
  </si>
  <si>
    <t>LDavg=</t>
  </si>
  <si>
    <t>LDr=</t>
  </si>
  <si>
    <t>длина окружности по среднему диаметру</t>
  </si>
  <si>
    <t>Рабочая длина витков в катушке</t>
  </si>
  <si>
    <t>рабочая активная часть катушки</t>
  </si>
  <si>
    <t>KLact=</t>
  </si>
  <si>
    <t>Напряжение генератора</t>
  </si>
  <si>
    <t>V</t>
  </si>
  <si>
    <t>объём под витки</t>
  </si>
  <si>
    <t>mm</t>
  </si>
  <si>
    <t>Swire=</t>
  </si>
  <si>
    <t>Kvw=</t>
  </si>
  <si>
    <t>толщина стороны катушки</t>
  </si>
  <si>
    <t>ширина стороны катушки</t>
  </si>
  <si>
    <t>мм</t>
  </si>
  <si>
    <t>Количество витков</t>
  </si>
  <si>
    <t>количество витков по борту</t>
  </si>
  <si>
    <t>количество витков по толщине</t>
  </si>
  <si>
    <t>всего войдет витков</t>
  </si>
  <si>
    <t>Расчет для трехфазного генератора</t>
  </si>
  <si>
    <t>Количество катушек в фазе</t>
  </si>
  <si>
    <t>Количество витков в фазе</t>
  </si>
  <si>
    <t>ЭДС1вит=</t>
  </si>
  <si>
    <t>ЭДС1фаз=</t>
  </si>
  <si>
    <t>напряжение зависит от оборотов линейно</t>
  </si>
  <si>
    <t>ЭДС одной фазы при 60 об/м</t>
  </si>
  <si>
    <t>ЭДС одной фазы при 120 об/м</t>
  </si>
  <si>
    <t>ЭДС одной фазы при 600 об/м</t>
  </si>
  <si>
    <t>Мощность генератора</t>
  </si>
  <si>
    <t>ЭДС трех фаз при 60 об/м</t>
  </si>
  <si>
    <t>ЭДС трех фаз при 120 об/м</t>
  </si>
  <si>
    <t>ЭДС трех фаз при 600 об/м</t>
  </si>
  <si>
    <t>Трёх-фазный генератор обычно соединяется звездой или треугольником, если фазы соединить звездой, то напряжение всего генератора после диодного моста поднимется в 1,7 раза от напряжения одной фазы. При соединении звездой возрастает сопротивление генератора в два раза в сравнении с сопротивлением одной фазы, поэтому повышая напряжение соединением в звезду повышается и сопротивление, и как следствие падение тока и КПД генератора на высоких оборотах, но зато зарядка АКБ будет начинаться раньше. </t>
  </si>
  <si>
    <r>
      <t>А соединяя треугольником напряжение и сопротивление генератора будет равно фазному. Если кратко, то </t>
    </r>
    <r>
      <rPr>
        <b/>
        <sz val="11"/>
        <color rgb="FF222222"/>
        <rFont val="Calibri"/>
        <family val="2"/>
        <charset val="204"/>
        <scheme val="minor"/>
      </rPr>
      <t>соединение фаз звездой</t>
    </r>
    <r>
      <rPr>
        <sz val="11"/>
        <color rgb="FF222222"/>
        <rFont val="Calibri"/>
        <family val="2"/>
        <charset val="204"/>
        <scheme val="minor"/>
      </rPr>
      <t> выглядит так - все начала трёх фаз или их концы соединяются в одну точку и изолируются, а три другие конца подаются на трёх-фазный диодный мост. </t>
    </r>
    <r>
      <rPr>
        <b/>
        <sz val="11"/>
        <color rgb="FF222222"/>
        <rFont val="Calibri"/>
        <family val="2"/>
        <charset val="204"/>
        <scheme val="minor"/>
      </rPr>
      <t>Треугольником</t>
    </r>
    <r>
      <rPr>
        <sz val="11"/>
        <color rgb="FF222222"/>
        <rFont val="Calibri"/>
        <family val="2"/>
        <charset val="204"/>
        <scheme val="minor"/>
      </rPr>
      <t> соединение немного сложнее, надо конец первой фазы соединить с началом второй фазы, а конец второй фазы соединить с началом третьей, а конец третьей соединить с началом первой. В итоге получатся три точки соединения, которые подаются на трёх-фазный диодный мост.</t>
    </r>
  </si>
  <si>
    <t>звездой ЭДС одной фазы при 60 об/м</t>
  </si>
  <si>
    <t>звездой ЭДС одной фазы при 120 об/м</t>
  </si>
  <si>
    <t>звездой ЭДС одной фазы при 600 об/м</t>
  </si>
  <si>
    <t>звездой ЭДС трех фаз при 60 об/м</t>
  </si>
  <si>
    <t>звездой ЭДС трех фаз при 120 об/м</t>
  </si>
  <si>
    <t>звездой ЭДС трех фаз при 600 об/м</t>
  </si>
  <si>
    <t>Мощность генератора зависит от напряжения и сопротивления обмотки статора, чем меньше сопротивление катушек, тем больше ток генератора. Но, чем больше витков в катушках, тем больше напряжение, а вот сопротивление из-за этого увеличивается, так как увеличивается длина провода и приходится катушки наматывать проводом тоньше, чтобы поместились все витки в катушку. Поэтому нужно искать баланс между сопротивлением и напряжением, а также, подбирать правильный винт под генератор, чтобы и зарядка начиналась на слабом ветре 3-4 м/с, и обороты были как можно выше, чтобы не завышать напряжение генератора и не проигрывать в сопротивлении и КПД генератора. </t>
  </si>
  <si>
    <t>Серебро</t>
  </si>
  <si>
    <t>Свинец</t>
  </si>
  <si>
    <t>Медь</t>
  </si>
  <si>
    <t>Никелин</t>
  </si>
  <si>
    <t>Алюминий</t>
  </si>
  <si>
    <t>Манганин</t>
  </si>
  <si>
    <t>Вольфрам</t>
  </si>
  <si>
    <t>Константан</t>
  </si>
  <si>
    <t>Цинк</t>
  </si>
  <si>
    <t>среднее значение удельного сопротивления длиной 1 м и площадью поперечного сечения 1 мм2, Ом•мм2/м</t>
  </si>
  <si>
    <t>Ртуть</t>
  </si>
  <si>
    <t>Латунь</t>
  </si>
  <si>
    <t>Нихром</t>
  </si>
  <si>
    <t>Сталь</t>
  </si>
  <si>
    <t>Фехраль</t>
  </si>
  <si>
    <t>Бронза фосф</t>
  </si>
  <si>
    <t>Хромаль</t>
  </si>
  <si>
    <t>Сопротивление рассчитывается по формуле</t>
  </si>
  <si>
    <t>где R — сопротивление, Ом; удельное сопротивление, (Ом•мм2)/м; l — длина провода, м; s — площадь сечения провода, мм2</t>
  </si>
  <si>
    <t>Если известен диаметр провода d, то площадь его сечения равна</t>
  </si>
  <si>
    <t>Измерить диаметр провода лучше всего с помощью микрометра, но если его нет, то следует намотать плотно 10 или 20 витков провода на карандаш и измерить линейкой длину намотки. Разделив длину намотки на число витков, найдем диаметр провода</t>
  </si>
  <si>
    <t>Для определения длины провода известного диаметра из данного материала, необходимой для получения нужного сопротивления, пользуются формулой</t>
  </si>
  <si>
    <t>Сопротивление одного метра провода диаметром 1 мм</t>
  </si>
  <si>
    <t>Ом</t>
  </si>
  <si>
    <t>витков в одной фазе</t>
  </si>
  <si>
    <t>диаметр провода в катушке</t>
  </si>
  <si>
    <t>площадь поперечного сечения провода</t>
  </si>
  <si>
    <r>
      <t xml:space="preserve">Катушки в фазах соединяются последовательно, то-есть конец первой с началом второй, а конец второй катушки фазы с началом третьей, при этом направление намотки всех катушек должно быть в одну сторону, или по часовой или против. Катушки фаз идут по порядку, катушки первой фазы это катушки 1-4-7-10-13-16, второй фазы 2-5-8-11-14-17, а третьей 3-6-9-12-15-18. </t>
    </r>
    <r>
      <rPr>
        <b/>
        <sz val="11"/>
        <color theme="1"/>
        <rFont val="Calibri"/>
        <family val="2"/>
        <charset val="204"/>
        <scheme val="minor"/>
      </rPr>
      <t>Все шесть выводов желательно вывести наружу чтобы потом соединять звездой или треугольником.</t>
    </r>
  </si>
  <si>
    <t>длина витка по нижнему краю катушки</t>
  </si>
  <si>
    <t>длина витка по верхнему краю катушки</t>
  </si>
  <si>
    <t>средняя длина витка</t>
  </si>
  <si>
    <t>Ohm</t>
  </si>
  <si>
    <t>сопротивление фазы</t>
  </si>
  <si>
    <t>звезда сопротивление фазы</t>
  </si>
  <si>
    <t>АКБ 12в</t>
  </si>
  <si>
    <t>АКБ 24в</t>
  </si>
  <si>
    <t>АКБ 48в</t>
  </si>
  <si>
    <t>60об/мин</t>
  </si>
  <si>
    <t>120об/мин</t>
  </si>
  <si>
    <t>600об/мин</t>
  </si>
  <si>
    <t>Мощность, ватт</t>
  </si>
  <si>
    <t>ток заряда, Ампер</t>
  </si>
  <si>
    <t>ТРЕУГОЛЬНИК</t>
  </si>
  <si>
    <t>зазор по внешнему радиусу</t>
  </si>
  <si>
    <t>длина окружности по внешнему радиусу диска</t>
  </si>
  <si>
    <t>напряжение одного витка катушки при 60 об/м или 5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</si>
</sst>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00"/>
    <numFmt numFmtId="165" formatCode="0.0000000"/>
    <numFmt numFmtId="166" formatCode="0.0000"/>
    <numFmt numFmtId="167" formatCode="0.00000"/>
    <numFmt numFmtId="168" formatCode="0.000"/>
    <numFmt numFmtId="169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b/>
      <sz val="11"/>
      <color rgb="FF22222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64" fontId="0" fillId="0" borderId="0" xfId="0" applyNumberFormat="1" applyFill="1"/>
    <xf numFmtId="164" fontId="0" fillId="3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1" fontId="0" fillId="3" borderId="0" xfId="0" applyNumberForma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8" fontId="0" fillId="3" borderId="0" xfId="0" applyNumberFormat="1" applyFill="1" applyAlignment="1">
      <alignment horizontal="center" vertical="center"/>
    </xf>
    <xf numFmtId="168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Fill="1"/>
    <xf numFmtId="2" fontId="0" fillId="3" borderId="0" xfId="0" applyNumberFormat="1" applyFill="1" applyAlignment="1">
      <alignment horizontal="center" vertical="center"/>
    </xf>
    <xf numFmtId="169" fontId="0" fillId="3" borderId="0" xfId="0" applyNumberFormat="1" applyFill="1" applyAlignment="1">
      <alignment horizontal="center" vertical="center"/>
    </xf>
    <xf numFmtId="164" fontId="4" fillId="0" borderId="0" xfId="0" applyNumberFormat="1" applyFont="1" applyFill="1"/>
    <xf numFmtId="167" fontId="0" fillId="6" borderId="0" xfId="0" applyNumberFormat="1" applyFill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4" fontId="0" fillId="3" borderId="28" xfId="0" applyNumberFormat="1" applyFill="1" applyBorder="1" applyAlignment="1">
      <alignment horizontal="center"/>
    </xf>
    <xf numFmtId="1" fontId="0" fillId="3" borderId="29" xfId="0" applyNumberForma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1" fontId="0" fillId="0" borderId="0" xfId="0" applyNumberFormat="1"/>
    <xf numFmtId="1" fontId="0" fillId="3" borderId="28" xfId="0" applyNumberFormat="1" applyFill="1" applyBorder="1" applyAlignment="1">
      <alignment horizontal="center"/>
    </xf>
    <xf numFmtId="1" fontId="1" fillId="0" borderId="0" xfId="0" applyNumberFormat="1" applyFont="1" applyFill="1" applyAlignment="1">
      <alignment horizontal="left"/>
    </xf>
    <xf numFmtId="1" fontId="0" fillId="6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 wrapText="1"/>
    </xf>
    <xf numFmtId="2" fontId="5" fillId="0" borderId="0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4" borderId="35" xfId="0" applyFill="1" applyBorder="1"/>
    <xf numFmtId="0" fontId="0" fillId="4" borderId="0" xfId="0" applyFill="1" applyBorder="1"/>
    <xf numFmtId="0" fontId="0" fillId="4" borderId="36" xfId="0" applyFill="1" applyBorder="1"/>
    <xf numFmtId="0" fontId="0" fillId="4" borderId="32" xfId="0" applyFill="1" applyBorder="1"/>
    <xf numFmtId="0" fontId="0" fillId="4" borderId="37" xfId="0" applyFill="1" applyBorder="1"/>
    <xf numFmtId="0" fontId="0" fillId="4" borderId="33" xfId="0" applyFill="1" applyBorder="1"/>
    <xf numFmtId="0" fontId="0" fillId="4" borderId="30" xfId="0" applyFill="1" applyBorder="1"/>
    <xf numFmtId="0" fontId="0" fillId="4" borderId="34" xfId="0" applyFill="1" applyBorder="1"/>
    <xf numFmtId="0" fontId="0" fillId="4" borderId="31" xfId="0" applyFill="1" applyBorder="1"/>
    <xf numFmtId="167" fontId="0" fillId="3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8" fontId="0" fillId="0" borderId="0" xfId="0" applyNumberFormat="1"/>
    <xf numFmtId="2" fontId="0" fillId="0" borderId="0" xfId="0" applyNumberFormat="1" applyFill="1" applyBorder="1" applyAlignment="1">
      <alignment horizontal="center"/>
    </xf>
    <xf numFmtId="2" fontId="0" fillId="7" borderId="0" xfId="0" applyNumberFormat="1" applyFill="1" applyAlignment="1">
      <alignment horizontal="center"/>
    </xf>
    <xf numFmtId="0" fontId="1" fillId="6" borderId="0" xfId="0" applyFont="1" applyFill="1"/>
    <xf numFmtId="168" fontId="1" fillId="6" borderId="2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1" fillId="5" borderId="0" xfId="0" applyFont="1" applyFill="1"/>
    <xf numFmtId="0" fontId="0" fillId="0" borderId="30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4" borderId="34" xfId="0" applyFill="1" applyBorder="1" applyAlignment="1">
      <alignment horizontal="left" wrapText="1"/>
    </xf>
    <xf numFmtId="0" fontId="0" fillId="4" borderId="31" xfId="0" applyFill="1" applyBorder="1" applyAlignment="1">
      <alignment horizontal="left" wrapText="1"/>
    </xf>
    <xf numFmtId="0" fontId="0" fillId="4" borderId="35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4" borderId="36" xfId="0" applyFill="1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0" borderId="30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5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2</xdr:row>
      <xdr:rowOff>161926</xdr:rowOff>
    </xdr:from>
    <xdr:to>
      <xdr:col>11</xdr:col>
      <xdr:colOff>52649</xdr:colOff>
      <xdr:row>9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25" y="1304926"/>
          <a:ext cx="4919924" cy="1343024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3</xdr:row>
      <xdr:rowOff>9525</xdr:rowOff>
    </xdr:from>
    <xdr:to>
      <xdr:col>16</xdr:col>
      <xdr:colOff>190323</xdr:colOff>
      <xdr:row>13</xdr:row>
      <xdr:rowOff>180975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0425" y="600075"/>
          <a:ext cx="3038298" cy="2114550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14</xdr:row>
      <xdr:rowOff>180975</xdr:rowOff>
    </xdr:from>
    <xdr:to>
      <xdr:col>15</xdr:col>
      <xdr:colOff>476250</xdr:colOff>
      <xdr:row>27</xdr:row>
      <xdr:rowOff>74718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10425" y="2867025"/>
          <a:ext cx="2714625" cy="2411705"/>
        </a:xfrm>
        <a:prstGeom prst="rect">
          <a:avLst/>
        </a:prstGeom>
      </xdr:spPr>
    </xdr:pic>
    <xdr:clientData/>
  </xdr:twoCellAnchor>
  <xdr:twoCellAnchor editAs="oneCell">
    <xdr:from>
      <xdr:col>16</xdr:col>
      <xdr:colOff>333375</xdr:colOff>
      <xdr:row>29</xdr:row>
      <xdr:rowOff>57150</xdr:rowOff>
    </xdr:from>
    <xdr:to>
      <xdr:col>24</xdr:col>
      <xdr:colOff>552450</xdr:colOff>
      <xdr:row>59</xdr:row>
      <xdr:rowOff>38101</xdr:rowOff>
    </xdr:to>
    <xdr:pic>
      <xdr:nvPicPr>
        <xdr:cNvPr id="8" name="Picture 7" descr="http://e-veterok.ru/images/165/3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5667375"/>
          <a:ext cx="5800725" cy="580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83</xdr:row>
      <xdr:rowOff>0</xdr:rowOff>
    </xdr:from>
    <xdr:to>
      <xdr:col>22</xdr:col>
      <xdr:colOff>304800</xdr:colOff>
      <xdr:row>101</xdr:row>
      <xdr:rowOff>171449</xdr:rowOff>
    </xdr:to>
    <xdr:pic>
      <xdr:nvPicPr>
        <xdr:cNvPr id="9" name="Picture 8" descr="Ð Ð°ÑÑÐµÑ ÑÐ¾Ð¿ÑÐ¾ÑÐ¸Ð²Ð»ÐµÐ½Ð¸Ð¹ Ð¿ÑÐ¾Ð²Ð¾Ð´Ð¾Ð²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5887700"/>
          <a:ext cx="4524375" cy="366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285750</xdr:colOff>
      <xdr:row>90</xdr:row>
      <xdr:rowOff>9525</xdr:rowOff>
    </xdr:from>
    <xdr:to>
      <xdr:col>6</xdr:col>
      <xdr:colOff>190500</xdr:colOff>
      <xdr:row>91</xdr:row>
      <xdr:rowOff>152400</xdr:rowOff>
    </xdr:to>
    <xdr:pic>
      <xdr:nvPicPr>
        <xdr:cNvPr id="10" name="Picture 9" descr="http://electricalschool.info/uploads/posts/2013-11/1383303321_1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7249775"/>
          <a:ext cx="514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93</xdr:row>
      <xdr:rowOff>66675</xdr:rowOff>
    </xdr:from>
    <xdr:to>
      <xdr:col>11</xdr:col>
      <xdr:colOff>542925</xdr:colOff>
      <xdr:row>95</xdr:row>
      <xdr:rowOff>142875</xdr:rowOff>
    </xdr:to>
    <xdr:pic>
      <xdr:nvPicPr>
        <xdr:cNvPr id="11" name="Picture 10" descr="http://electricalschool.info/uploads/posts/2013-11/1383303264_2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7897475"/>
          <a:ext cx="23907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428625</xdr:colOff>
      <xdr:row>100</xdr:row>
      <xdr:rowOff>57150</xdr:rowOff>
    </xdr:from>
    <xdr:to>
      <xdr:col>7</xdr:col>
      <xdr:colOff>447675</xdr:colOff>
      <xdr:row>102</xdr:row>
      <xdr:rowOff>133350</xdr:rowOff>
    </xdr:to>
    <xdr:pic>
      <xdr:nvPicPr>
        <xdr:cNvPr id="12" name="Picture 11" descr="http://electricalschool.info/uploads/posts/2013-11/1383303270_3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230975"/>
          <a:ext cx="628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29"/>
  <sheetViews>
    <sheetView tabSelected="1" zoomScale="85" zoomScaleNormal="85" workbookViewId="0">
      <selection activeCell="K33" sqref="K33"/>
    </sheetView>
  </sheetViews>
  <sheetFormatPr defaultRowHeight="15" x14ac:dyDescent="0.25"/>
  <cols>
    <col min="2" max="2" width="13.7109375" bestFit="1" customWidth="1"/>
    <col min="18" max="18" width="10.85546875" style="16" bestFit="1" customWidth="1"/>
    <col min="19" max="19" width="22.140625" style="16" customWidth="1"/>
    <col min="20" max="20" width="10.7109375" style="16" bestFit="1" customWidth="1"/>
    <col min="21" max="21" width="5.85546875" style="16" bestFit="1" customWidth="1"/>
    <col min="22" max="22" width="4.5703125" style="16" bestFit="1" customWidth="1"/>
    <col min="23" max="23" width="9.42578125" style="16" customWidth="1"/>
    <col min="24" max="24" width="11" style="16" bestFit="1" customWidth="1"/>
    <col min="25" max="25" width="10.85546875" style="16" customWidth="1"/>
  </cols>
  <sheetData>
    <row r="1" spans="1:25" ht="15" customHeight="1" x14ac:dyDescent="0.25">
      <c r="R1" s="120" t="s">
        <v>97</v>
      </c>
      <c r="S1" s="120" t="s">
        <v>93</v>
      </c>
      <c r="T1" s="135" t="s">
        <v>42</v>
      </c>
      <c r="U1" s="136"/>
      <c r="V1" s="137"/>
      <c r="W1" s="129" t="s">
        <v>95</v>
      </c>
      <c r="X1" s="130"/>
      <c r="Y1" s="133" t="s">
        <v>96</v>
      </c>
    </row>
    <row r="2" spans="1:25" ht="15.75" thickBot="1" x14ac:dyDescent="0.3">
      <c r="R2" s="121"/>
      <c r="S2" s="121"/>
      <c r="T2" s="138" t="s">
        <v>94</v>
      </c>
      <c r="U2" s="139"/>
      <c r="V2" s="140"/>
      <c r="W2" s="131"/>
      <c r="X2" s="132"/>
      <c r="Y2" s="134"/>
    </row>
    <row r="3" spans="1:25" ht="15.75" thickBot="1" x14ac:dyDescent="0.3">
      <c r="B3" s="15" t="s">
        <v>41</v>
      </c>
      <c r="R3" s="122"/>
      <c r="S3" s="28" t="s">
        <v>43</v>
      </c>
      <c r="T3" s="29" t="s">
        <v>44</v>
      </c>
      <c r="U3" s="30" t="s">
        <v>45</v>
      </c>
      <c r="V3" s="31" t="s">
        <v>46</v>
      </c>
      <c r="W3" s="29" t="s">
        <v>47</v>
      </c>
      <c r="X3" s="31" t="s">
        <v>48</v>
      </c>
      <c r="Y3" s="32" t="s">
        <v>49</v>
      </c>
    </row>
    <row r="4" spans="1:25" ht="15.75" thickBot="1" x14ac:dyDescent="0.3">
      <c r="A4" s="40" t="s">
        <v>0</v>
      </c>
      <c r="R4" s="26" t="s">
        <v>50</v>
      </c>
      <c r="S4" s="26" t="s">
        <v>51</v>
      </c>
      <c r="T4" s="23" t="s">
        <v>52</v>
      </c>
      <c r="U4" s="24">
        <v>955</v>
      </c>
      <c r="V4" s="25">
        <v>12</v>
      </c>
      <c r="W4" s="23">
        <v>35</v>
      </c>
      <c r="X4" s="25">
        <v>279</v>
      </c>
      <c r="Y4" s="33">
        <v>80</v>
      </c>
    </row>
    <row r="5" spans="1:25" ht="15.75" thickBot="1" x14ac:dyDescent="0.3">
      <c r="A5" s="1" t="s">
        <v>1</v>
      </c>
      <c r="B5" s="50">
        <v>0.06</v>
      </c>
      <c r="C5" t="s">
        <v>5</v>
      </c>
      <c r="R5" s="27" t="s">
        <v>53</v>
      </c>
      <c r="S5" s="27" t="s">
        <v>51</v>
      </c>
      <c r="T5" s="19" t="s">
        <v>54</v>
      </c>
      <c r="U5" s="17">
        <v>1115</v>
      </c>
      <c r="V5" s="18">
        <v>14</v>
      </c>
      <c r="W5" s="19">
        <v>35</v>
      </c>
      <c r="X5" s="18">
        <v>279</v>
      </c>
      <c r="Y5" s="34">
        <v>100</v>
      </c>
    </row>
    <row r="6" spans="1:25" ht="15.75" thickBot="1" x14ac:dyDescent="0.3">
      <c r="A6" s="1" t="s">
        <v>2</v>
      </c>
      <c r="B6" s="50">
        <v>0.03</v>
      </c>
      <c r="C6" t="s">
        <v>5</v>
      </c>
      <c r="R6" s="27" t="s">
        <v>55</v>
      </c>
      <c r="S6" s="27" t="s">
        <v>56</v>
      </c>
      <c r="T6" s="19" t="s">
        <v>57</v>
      </c>
      <c r="U6" s="17">
        <v>1355</v>
      </c>
      <c r="V6" s="18">
        <v>17</v>
      </c>
      <c r="W6" s="19">
        <v>35</v>
      </c>
      <c r="X6" s="18">
        <v>279</v>
      </c>
      <c r="Y6" s="34">
        <v>120</v>
      </c>
    </row>
    <row r="7" spans="1:25" ht="15.75" thickBot="1" x14ac:dyDescent="0.3">
      <c r="A7" s="1" t="s">
        <v>3</v>
      </c>
      <c r="B7" s="50">
        <v>30</v>
      </c>
      <c r="C7" t="s">
        <v>6</v>
      </c>
      <c r="R7" s="27" t="s">
        <v>58</v>
      </c>
      <c r="S7" s="27" t="s">
        <v>51</v>
      </c>
      <c r="T7" s="19" t="s">
        <v>52</v>
      </c>
      <c r="U7" s="17">
        <v>1590</v>
      </c>
      <c r="V7" s="18">
        <v>20</v>
      </c>
      <c r="W7" s="19">
        <v>35</v>
      </c>
      <c r="X7" s="18">
        <v>279</v>
      </c>
      <c r="Y7" s="34">
        <v>150</v>
      </c>
    </row>
    <row r="8" spans="1:25" x14ac:dyDescent="0.25">
      <c r="A8" s="1" t="s">
        <v>4</v>
      </c>
      <c r="B8" s="44">
        <f>(PI()*RADIANS(B7)/RADIANS(360))*(B5^2-B6^2)</f>
        <v>7.0685834705770342E-4</v>
      </c>
      <c r="C8" t="s">
        <v>7</v>
      </c>
      <c r="R8" s="27" t="s">
        <v>59</v>
      </c>
      <c r="S8" s="27" t="s">
        <v>51</v>
      </c>
      <c r="T8" s="19" t="s">
        <v>52</v>
      </c>
      <c r="U8" s="17">
        <v>1990</v>
      </c>
      <c r="V8" s="18">
        <v>25</v>
      </c>
      <c r="W8" s="19">
        <v>35</v>
      </c>
      <c r="X8" s="18">
        <v>279</v>
      </c>
      <c r="Y8" s="34">
        <v>180</v>
      </c>
    </row>
    <row r="9" spans="1:25" x14ac:dyDescent="0.25">
      <c r="A9" s="1" t="s">
        <v>4</v>
      </c>
      <c r="B9" s="43">
        <f>B8*10000</f>
        <v>7.0685834705770345</v>
      </c>
      <c r="C9" t="s">
        <v>8</v>
      </c>
      <c r="R9" s="27" t="s">
        <v>60</v>
      </c>
      <c r="S9" s="27" t="s">
        <v>51</v>
      </c>
      <c r="T9" s="19" t="s">
        <v>61</v>
      </c>
      <c r="U9" s="17">
        <v>955</v>
      </c>
      <c r="V9" s="18">
        <v>12</v>
      </c>
      <c r="W9" s="19">
        <v>38</v>
      </c>
      <c r="X9" s="18">
        <v>303</v>
      </c>
      <c r="Y9" s="34">
        <v>80</v>
      </c>
    </row>
    <row r="10" spans="1:25" x14ac:dyDescent="0.25">
      <c r="A10" s="1" t="s">
        <v>4</v>
      </c>
      <c r="B10" s="43">
        <f>B8*1000000</f>
        <v>706.85834705770344</v>
      </c>
      <c r="C10" t="s">
        <v>9</v>
      </c>
      <c r="R10" s="27" t="s">
        <v>62</v>
      </c>
      <c r="S10" s="27" t="s">
        <v>63</v>
      </c>
      <c r="T10" s="19" t="s">
        <v>61</v>
      </c>
      <c r="U10" s="17">
        <v>1115</v>
      </c>
      <c r="V10" s="18">
        <v>14</v>
      </c>
      <c r="W10" s="19">
        <v>38</v>
      </c>
      <c r="X10" s="18">
        <v>303</v>
      </c>
      <c r="Y10" s="34">
        <v>100</v>
      </c>
    </row>
    <row r="11" spans="1:25" x14ac:dyDescent="0.25">
      <c r="A11" s="1" t="s">
        <v>12</v>
      </c>
      <c r="B11" s="4">
        <f>(PI()*$B$5*RADIANS($B$7))/RADIANS(180)</f>
        <v>3.1415926535897927E-2</v>
      </c>
      <c r="C11" t="s">
        <v>5</v>
      </c>
      <c r="D11" t="s">
        <v>14</v>
      </c>
      <c r="R11" s="27" t="s">
        <v>64</v>
      </c>
      <c r="S11" s="27" t="s">
        <v>63</v>
      </c>
      <c r="T11" s="19" t="s">
        <v>61</v>
      </c>
      <c r="U11" s="17">
        <v>1355</v>
      </c>
      <c r="V11" s="18">
        <v>17</v>
      </c>
      <c r="W11" s="19">
        <v>38</v>
      </c>
      <c r="X11" s="18">
        <v>303</v>
      </c>
      <c r="Y11" s="34">
        <v>120</v>
      </c>
    </row>
    <row r="12" spans="1:25" x14ac:dyDescent="0.25">
      <c r="A12" s="1" t="s">
        <v>13</v>
      </c>
      <c r="B12" s="4">
        <f>(PI()*$B$6*RADIANS($B$7))/RADIANS(180)</f>
        <v>1.5707963267948963E-2</v>
      </c>
      <c r="C12" t="s">
        <v>5</v>
      </c>
      <c r="D12" t="s">
        <v>15</v>
      </c>
      <c r="R12" s="27" t="s">
        <v>65</v>
      </c>
      <c r="S12" s="27" t="s">
        <v>63</v>
      </c>
      <c r="T12" s="19" t="s">
        <v>61</v>
      </c>
      <c r="U12" s="17">
        <v>1590</v>
      </c>
      <c r="V12" s="18">
        <v>20</v>
      </c>
      <c r="W12" s="19">
        <v>38</v>
      </c>
      <c r="X12" s="18">
        <v>303</v>
      </c>
      <c r="Y12" s="34">
        <v>160</v>
      </c>
    </row>
    <row r="13" spans="1:25" x14ac:dyDescent="0.25">
      <c r="A13" s="1" t="s">
        <v>17</v>
      </c>
      <c r="B13" s="12">
        <v>0.03</v>
      </c>
      <c r="C13" t="s">
        <v>5</v>
      </c>
      <c r="D13" t="s">
        <v>18</v>
      </c>
      <c r="R13" s="27" t="s">
        <v>66</v>
      </c>
      <c r="S13" s="27" t="s">
        <v>63</v>
      </c>
      <c r="T13" s="19" t="s">
        <v>61</v>
      </c>
      <c r="U13" s="17">
        <v>1990</v>
      </c>
      <c r="V13" s="18">
        <v>25</v>
      </c>
      <c r="W13" s="19">
        <v>38</v>
      </c>
      <c r="X13" s="18">
        <v>303</v>
      </c>
      <c r="Y13" s="34">
        <v>180</v>
      </c>
    </row>
    <row r="14" spans="1:25" x14ac:dyDescent="0.25">
      <c r="A14" s="1" t="s">
        <v>19</v>
      </c>
      <c r="B14" s="12">
        <f>8/1000</f>
        <v>8.0000000000000002E-3</v>
      </c>
      <c r="C14" t="s">
        <v>5</v>
      </c>
      <c r="D14" t="s">
        <v>20</v>
      </c>
      <c r="R14" s="27" t="s">
        <v>67</v>
      </c>
      <c r="S14" s="27" t="s">
        <v>68</v>
      </c>
      <c r="T14" s="19" t="s">
        <v>69</v>
      </c>
      <c r="U14" s="17">
        <v>955</v>
      </c>
      <c r="V14" s="18">
        <v>12</v>
      </c>
      <c r="W14" s="19">
        <v>40</v>
      </c>
      <c r="X14" s="18">
        <v>318</v>
      </c>
      <c r="Y14" s="34">
        <v>80</v>
      </c>
    </row>
    <row r="15" spans="1:25" x14ac:dyDescent="0.25">
      <c r="A15" s="1" t="s">
        <v>28</v>
      </c>
      <c r="B15" s="11">
        <f>$B$6*SIN(RADIANS($B$7/2))</f>
        <v>7.7645713530756222E-3</v>
      </c>
      <c r="C15" t="s">
        <v>5</v>
      </c>
      <c r="D15" t="s">
        <v>29</v>
      </c>
      <c r="R15" s="27" t="s">
        <v>70</v>
      </c>
      <c r="S15" s="27" t="s">
        <v>68</v>
      </c>
      <c r="T15" s="19" t="s">
        <v>69</v>
      </c>
      <c r="U15" s="17">
        <v>1115</v>
      </c>
      <c r="V15" s="18">
        <v>14</v>
      </c>
      <c r="W15" s="19">
        <v>40</v>
      </c>
      <c r="X15" s="18">
        <v>318</v>
      </c>
      <c r="Y15" s="34">
        <v>100</v>
      </c>
    </row>
    <row r="16" spans="1:25" x14ac:dyDescent="0.25">
      <c r="A16" s="1" t="s">
        <v>98</v>
      </c>
      <c r="B16" s="8">
        <v>1.4</v>
      </c>
      <c r="C16" t="s">
        <v>99</v>
      </c>
      <c r="D16" t="s">
        <v>100</v>
      </c>
      <c r="R16" s="27" t="s">
        <v>71</v>
      </c>
      <c r="S16" s="27" t="s">
        <v>68</v>
      </c>
      <c r="T16" s="19" t="s">
        <v>69</v>
      </c>
      <c r="U16" s="17">
        <v>1355</v>
      </c>
      <c r="V16" s="18">
        <v>17</v>
      </c>
      <c r="W16" s="19">
        <v>40</v>
      </c>
      <c r="X16" s="18">
        <v>318</v>
      </c>
      <c r="Y16" s="34">
        <v>120</v>
      </c>
    </row>
    <row r="17" spans="1:25" x14ac:dyDescent="0.25">
      <c r="B17" s="3"/>
      <c r="R17" s="27" t="s">
        <v>72</v>
      </c>
      <c r="S17" s="27" t="s">
        <v>68</v>
      </c>
      <c r="T17" s="19" t="s">
        <v>69</v>
      </c>
      <c r="U17" s="17">
        <v>1590</v>
      </c>
      <c r="V17" s="18">
        <v>20</v>
      </c>
      <c r="W17" s="19">
        <v>40</v>
      </c>
      <c r="X17" s="18">
        <v>318</v>
      </c>
      <c r="Y17" s="34">
        <v>160</v>
      </c>
    </row>
    <row r="18" spans="1:25" ht="15.75" thickBot="1" x14ac:dyDescent="0.3">
      <c r="A18" s="40" t="s">
        <v>101</v>
      </c>
      <c r="B18" s="3"/>
      <c r="R18" s="27" t="s">
        <v>73</v>
      </c>
      <c r="S18" s="27" t="s">
        <v>68</v>
      </c>
      <c r="T18" s="19" t="s">
        <v>69</v>
      </c>
      <c r="U18" s="17">
        <v>1990</v>
      </c>
      <c r="V18" s="18">
        <v>25</v>
      </c>
      <c r="W18" s="19">
        <v>40</v>
      </c>
      <c r="X18" s="18">
        <v>318</v>
      </c>
      <c r="Y18" s="34">
        <v>180</v>
      </c>
    </row>
    <row r="19" spans="1:25" ht="15.75" thickBot="1" x14ac:dyDescent="0.3">
      <c r="A19" s="1" t="s">
        <v>10</v>
      </c>
      <c r="B19" s="49">
        <v>12</v>
      </c>
      <c r="D19" t="s">
        <v>11</v>
      </c>
      <c r="R19" s="27" t="s">
        <v>74</v>
      </c>
      <c r="S19" s="27" t="s">
        <v>75</v>
      </c>
      <c r="T19" s="19" t="s">
        <v>76</v>
      </c>
      <c r="U19" s="17">
        <v>955</v>
      </c>
      <c r="V19" s="18">
        <v>12</v>
      </c>
      <c r="W19" s="19">
        <v>42</v>
      </c>
      <c r="X19" s="18">
        <v>334</v>
      </c>
      <c r="Y19" s="34">
        <v>80</v>
      </c>
    </row>
    <row r="20" spans="1:25" x14ac:dyDescent="0.25">
      <c r="A20" s="1" t="s">
        <v>16</v>
      </c>
      <c r="B20" s="5">
        <f>$B$11/2</f>
        <v>1.5707963267948963E-2</v>
      </c>
      <c r="C20" t="s">
        <v>5</v>
      </c>
      <c r="D20" t="s">
        <v>189</v>
      </c>
      <c r="R20" s="27" t="s">
        <v>77</v>
      </c>
      <c r="S20" s="27" t="s">
        <v>75</v>
      </c>
      <c r="T20" s="19" t="s">
        <v>76</v>
      </c>
      <c r="U20" s="17">
        <v>1115</v>
      </c>
      <c r="V20" s="18">
        <v>14</v>
      </c>
      <c r="W20" s="19">
        <v>42</v>
      </c>
      <c r="X20" s="18">
        <v>334</v>
      </c>
      <c r="Y20" s="34">
        <v>100</v>
      </c>
    </row>
    <row r="21" spans="1:25" ht="15.75" thickBot="1" x14ac:dyDescent="0.3">
      <c r="A21" s="1" t="s">
        <v>106</v>
      </c>
      <c r="B21" s="6">
        <f>($B$11+$B$20)*$B$19</f>
        <v>0.56548667764616267</v>
      </c>
      <c r="C21" t="s">
        <v>5</v>
      </c>
      <c r="D21" t="s">
        <v>190</v>
      </c>
      <c r="R21" s="27" t="s">
        <v>78</v>
      </c>
      <c r="S21" s="27" t="s">
        <v>75</v>
      </c>
      <c r="T21" s="19" t="s">
        <v>76</v>
      </c>
      <c r="U21" s="17">
        <v>1355</v>
      </c>
      <c r="V21" s="18">
        <v>17</v>
      </c>
      <c r="W21" s="19">
        <v>40</v>
      </c>
      <c r="X21" s="18">
        <v>318</v>
      </c>
      <c r="Y21" s="34">
        <v>120</v>
      </c>
    </row>
    <row r="22" spans="1:25" x14ac:dyDescent="0.25">
      <c r="A22" s="1" t="s">
        <v>22</v>
      </c>
      <c r="B22" s="7">
        <f>$B$21/PI()</f>
        <v>0.17999999999999997</v>
      </c>
      <c r="C22" t="s">
        <v>5</v>
      </c>
      <c r="D22" t="s">
        <v>24</v>
      </c>
      <c r="G22" s="141">
        <v>0.17</v>
      </c>
      <c r="R22" s="27" t="s">
        <v>79</v>
      </c>
      <c r="S22" s="27" t="s">
        <v>80</v>
      </c>
      <c r="T22" s="19" t="s">
        <v>76</v>
      </c>
      <c r="U22" s="17">
        <v>1590</v>
      </c>
      <c r="V22" s="18">
        <v>20</v>
      </c>
      <c r="W22" s="19">
        <v>42</v>
      </c>
      <c r="X22" s="18">
        <v>334</v>
      </c>
      <c r="Y22" s="34">
        <v>160</v>
      </c>
    </row>
    <row r="23" spans="1:25" ht="15.75" thickBot="1" x14ac:dyDescent="0.3">
      <c r="A23" s="1" t="s">
        <v>21</v>
      </c>
      <c r="B23" s="6">
        <f>$B$22-$B$13*2</f>
        <v>0.11999999999999997</v>
      </c>
      <c r="C23" t="s">
        <v>5</v>
      </c>
      <c r="D23" t="s">
        <v>23</v>
      </c>
      <c r="G23" s="142">
        <v>0.11</v>
      </c>
      <c r="R23" s="27" t="s">
        <v>81</v>
      </c>
      <c r="S23" s="27" t="s">
        <v>82</v>
      </c>
      <c r="T23" s="19" t="s">
        <v>83</v>
      </c>
      <c r="U23" s="17">
        <v>955</v>
      </c>
      <c r="V23" s="18">
        <v>12</v>
      </c>
      <c r="W23" s="19">
        <v>45</v>
      </c>
      <c r="X23" s="18">
        <v>358</v>
      </c>
      <c r="Y23" s="34">
        <v>80</v>
      </c>
    </row>
    <row r="24" spans="1:25" x14ac:dyDescent="0.25">
      <c r="A24" s="1"/>
      <c r="B24" s="3"/>
      <c r="R24" s="27" t="s">
        <v>84</v>
      </c>
      <c r="S24" s="27" t="s">
        <v>82</v>
      </c>
      <c r="T24" s="19" t="s">
        <v>83</v>
      </c>
      <c r="U24" s="17">
        <v>1115</v>
      </c>
      <c r="V24" s="18">
        <v>14</v>
      </c>
      <c r="W24" s="19">
        <v>45</v>
      </c>
      <c r="X24" s="18">
        <v>358</v>
      </c>
      <c r="Y24" s="34">
        <v>100</v>
      </c>
    </row>
    <row r="25" spans="1:25" x14ac:dyDescent="0.25">
      <c r="A25" s="41" t="s">
        <v>25</v>
      </c>
      <c r="B25" s="3"/>
      <c r="R25" s="27" t="s">
        <v>85</v>
      </c>
      <c r="S25" s="27" t="s">
        <v>82</v>
      </c>
      <c r="T25" s="19" t="s">
        <v>83</v>
      </c>
      <c r="U25" s="17">
        <v>1355</v>
      </c>
      <c r="V25" s="18">
        <v>17</v>
      </c>
      <c r="W25" s="19">
        <v>45</v>
      </c>
      <c r="X25" s="18">
        <v>358</v>
      </c>
      <c r="Y25" s="34">
        <v>120</v>
      </c>
    </row>
    <row r="26" spans="1:25" x14ac:dyDescent="0.25">
      <c r="A26" s="9"/>
      <c r="B26" s="42" t="s">
        <v>102</v>
      </c>
      <c r="R26" s="35" t="s">
        <v>41</v>
      </c>
      <c r="S26" s="35" t="s">
        <v>86</v>
      </c>
      <c r="T26" s="36" t="s">
        <v>87</v>
      </c>
      <c r="U26" s="37">
        <v>955</v>
      </c>
      <c r="V26" s="38">
        <v>12</v>
      </c>
      <c r="W26" s="36">
        <v>48</v>
      </c>
      <c r="X26" s="38">
        <v>382</v>
      </c>
      <c r="Y26" s="39">
        <v>80</v>
      </c>
    </row>
    <row r="27" spans="1:25" x14ac:dyDescent="0.25">
      <c r="A27" s="1" t="s">
        <v>26</v>
      </c>
      <c r="B27" s="10">
        <f>$B$19/2*3</f>
        <v>18</v>
      </c>
      <c r="D27" t="s">
        <v>27</v>
      </c>
      <c r="R27" s="27" t="s">
        <v>88</v>
      </c>
      <c r="S27" s="27" t="s">
        <v>86</v>
      </c>
      <c r="T27" s="19" t="s">
        <v>87</v>
      </c>
      <c r="U27" s="17">
        <v>1115</v>
      </c>
      <c r="V27" s="18">
        <v>14</v>
      </c>
      <c r="W27" s="19">
        <v>48</v>
      </c>
      <c r="X27" s="18">
        <v>382</v>
      </c>
      <c r="Y27" s="34">
        <v>100</v>
      </c>
    </row>
    <row r="28" spans="1:25" x14ac:dyDescent="0.25">
      <c r="A28" s="1" t="s">
        <v>30</v>
      </c>
      <c r="B28" s="8">
        <f>360/$B$27</f>
        <v>20</v>
      </c>
      <c r="C28" t="s">
        <v>31</v>
      </c>
      <c r="D28" t="s">
        <v>32</v>
      </c>
      <c r="R28" s="27" t="s">
        <v>89</v>
      </c>
      <c r="S28" s="27" t="s">
        <v>86</v>
      </c>
      <c r="T28" s="19" t="s">
        <v>87</v>
      </c>
      <c r="U28" s="17">
        <v>1355</v>
      </c>
      <c r="V28" s="18">
        <v>17</v>
      </c>
      <c r="W28" s="19">
        <v>48</v>
      </c>
      <c r="X28" s="18">
        <v>382</v>
      </c>
      <c r="Y28" s="34">
        <v>120</v>
      </c>
    </row>
    <row r="29" spans="1:25" ht="15.75" thickBot="1" x14ac:dyDescent="0.3">
      <c r="A29" s="1" t="s">
        <v>35</v>
      </c>
      <c r="B29" s="13">
        <f>2*($G$22/2)*SIN(RADIANS($B$28/2))</f>
        <v>2.952019020337816E-2</v>
      </c>
      <c r="C29" t="s">
        <v>5</v>
      </c>
      <c r="D29" t="s">
        <v>36</v>
      </c>
      <c r="R29" s="28" t="s">
        <v>90</v>
      </c>
      <c r="S29" s="28" t="s">
        <v>91</v>
      </c>
      <c r="T29" s="20" t="s">
        <v>92</v>
      </c>
      <c r="U29" s="21">
        <v>876</v>
      </c>
      <c r="V29" s="22">
        <v>11</v>
      </c>
      <c r="W29" s="20">
        <v>50</v>
      </c>
      <c r="X29" s="22">
        <v>398</v>
      </c>
      <c r="Y29" s="32">
        <v>70</v>
      </c>
    </row>
    <row r="30" spans="1:25" ht="15.75" thickBot="1" x14ac:dyDescent="0.3">
      <c r="A30" s="1" t="s">
        <v>34</v>
      </c>
      <c r="B30" s="13">
        <f>2*($G$23/2)*SIN(RADIANS($B$28/2))</f>
        <v>1.9101299543362336E-2</v>
      </c>
      <c r="C30" t="s">
        <v>5</v>
      </c>
      <c r="D30" t="s">
        <v>33</v>
      </c>
    </row>
    <row r="31" spans="1:25" ht="15.75" thickBot="1" x14ac:dyDescent="0.3">
      <c r="A31" s="1" t="s">
        <v>37</v>
      </c>
      <c r="B31" s="47">
        <v>0.77</v>
      </c>
      <c r="D31" t="s">
        <v>38</v>
      </c>
    </row>
    <row r="32" spans="1:25" x14ac:dyDescent="0.25">
      <c r="A32" s="1" t="s">
        <v>40</v>
      </c>
      <c r="B32" s="12">
        <f>$B$29/2*$B$31</f>
        <v>1.1365273228300592E-2</v>
      </c>
      <c r="C32" t="s">
        <v>5</v>
      </c>
      <c r="D32" t="s">
        <v>118</v>
      </c>
      <c r="G32" s="56">
        <v>12</v>
      </c>
      <c r="H32" t="s">
        <v>119</v>
      </c>
    </row>
    <row r="33" spans="1:8" ht="15.75" thickBot="1" x14ac:dyDescent="0.3">
      <c r="A33" s="1" t="s">
        <v>39</v>
      </c>
      <c r="B33" s="13">
        <f>$B$14</f>
        <v>8.0000000000000002E-3</v>
      </c>
      <c r="C33" t="s">
        <v>5</v>
      </c>
      <c r="D33" t="s">
        <v>117</v>
      </c>
      <c r="G33" s="52">
        <v>8</v>
      </c>
      <c r="H33" t="s">
        <v>119</v>
      </c>
    </row>
    <row r="34" spans="1:8" x14ac:dyDescent="0.25">
      <c r="B34" s="3"/>
    </row>
    <row r="35" spans="1:8" ht="15.75" x14ac:dyDescent="0.25">
      <c r="A35" s="2"/>
      <c r="B35" s="42" t="s">
        <v>111</v>
      </c>
    </row>
    <row r="36" spans="1:8" x14ac:dyDescent="0.25">
      <c r="A36" s="1" t="s">
        <v>104</v>
      </c>
      <c r="B36" s="8">
        <f>($G$23+$G$22)/2</f>
        <v>0.14000000000000001</v>
      </c>
      <c r="C36" t="s">
        <v>5</v>
      </c>
      <c r="D36" t="s">
        <v>103</v>
      </c>
    </row>
    <row r="37" spans="1:8" x14ac:dyDescent="0.25">
      <c r="A37" s="1" t="s">
        <v>105</v>
      </c>
      <c r="B37" s="8">
        <f>$B$36*PI()*2</f>
        <v>0.87964594300514221</v>
      </c>
      <c r="C37" t="s">
        <v>5</v>
      </c>
      <c r="D37" t="s">
        <v>107</v>
      </c>
    </row>
    <row r="38" spans="1:8" x14ac:dyDescent="0.25">
      <c r="B38" s="42" t="s">
        <v>108</v>
      </c>
    </row>
    <row r="39" spans="1:8" x14ac:dyDescent="0.25">
      <c r="A39" s="1" t="s">
        <v>110</v>
      </c>
      <c r="B39" s="13">
        <f>$B$13</f>
        <v>0.03</v>
      </c>
      <c r="C39" t="s">
        <v>5</v>
      </c>
      <c r="D39" t="s">
        <v>109</v>
      </c>
    </row>
    <row r="40" spans="1:8" ht="15.75" thickBot="1" x14ac:dyDescent="0.3">
      <c r="A40" s="1" t="s">
        <v>127</v>
      </c>
      <c r="B40" s="46">
        <f>$B$16*$B$37*$B$39</f>
        <v>3.6945129606215966E-2</v>
      </c>
      <c r="C40" t="s">
        <v>112</v>
      </c>
      <c r="D40" s="45" t="s">
        <v>191</v>
      </c>
    </row>
    <row r="41" spans="1:8" x14ac:dyDescent="0.25">
      <c r="A41" s="123" t="s">
        <v>116</v>
      </c>
      <c r="B41" s="51">
        <f>$B$32*$B$33</f>
        <v>9.0922185826404741E-5</v>
      </c>
      <c r="C41" s="53" t="s">
        <v>7</v>
      </c>
      <c r="D41" s="125" t="s">
        <v>113</v>
      </c>
      <c r="E41" s="126"/>
    </row>
    <row r="42" spans="1:8" ht="15.75" thickBot="1" x14ac:dyDescent="0.3">
      <c r="A42" s="124"/>
      <c r="B42" s="52">
        <f>B41*1000^2</f>
        <v>90.922185826404743</v>
      </c>
      <c r="C42" s="54" t="s">
        <v>9</v>
      </c>
      <c r="D42" s="127"/>
      <c r="E42" s="128"/>
    </row>
    <row r="43" spans="1:8" ht="15.75" thickBot="1" x14ac:dyDescent="0.3">
      <c r="A43" s="1" t="s">
        <v>115</v>
      </c>
      <c r="B43" s="48">
        <v>1</v>
      </c>
      <c r="C43" t="s">
        <v>114</v>
      </c>
      <c r="D43" t="s">
        <v>171</v>
      </c>
    </row>
    <row r="44" spans="1:8" x14ac:dyDescent="0.25">
      <c r="A44" s="1"/>
      <c r="B44" s="78">
        <f>PI()*$B$43^2/4</f>
        <v>0.78539816339744828</v>
      </c>
      <c r="C44" s="68" t="s">
        <v>9</v>
      </c>
      <c r="D44" t="s">
        <v>172</v>
      </c>
    </row>
    <row r="45" spans="1:8" x14ac:dyDescent="0.25">
      <c r="B45" s="57" t="s">
        <v>120</v>
      </c>
    </row>
    <row r="46" spans="1:8" x14ac:dyDescent="0.25">
      <c r="B46" s="10">
        <f>$G$32/$B$43</f>
        <v>12</v>
      </c>
      <c r="D46" t="s">
        <v>121</v>
      </c>
    </row>
    <row r="47" spans="1:8" ht="15.75" thickBot="1" x14ac:dyDescent="0.3">
      <c r="B47" s="10">
        <f>$G$33/$B$43-1</f>
        <v>7</v>
      </c>
      <c r="D47" t="s">
        <v>122</v>
      </c>
    </row>
    <row r="48" spans="1:8" ht="15.75" thickBot="1" x14ac:dyDescent="0.3">
      <c r="B48" s="58">
        <f>$B$46*$B$47</f>
        <v>84</v>
      </c>
      <c r="D48" t="s">
        <v>123</v>
      </c>
    </row>
    <row r="50" spans="1:15" x14ac:dyDescent="0.25">
      <c r="B50" s="40" t="s">
        <v>124</v>
      </c>
    </row>
    <row r="51" spans="1:15" x14ac:dyDescent="0.25">
      <c r="B51" s="59">
        <f>$B$27/3</f>
        <v>6</v>
      </c>
      <c r="D51" t="s">
        <v>125</v>
      </c>
    </row>
    <row r="52" spans="1:15" ht="15.75" thickBot="1" x14ac:dyDescent="0.3">
      <c r="B52" s="10">
        <f>$B$51*$B$48</f>
        <v>504</v>
      </c>
      <c r="D52" t="s">
        <v>126</v>
      </c>
    </row>
    <row r="53" spans="1:15" ht="15.75" thickBot="1" x14ac:dyDescent="0.3">
      <c r="A53" t="s">
        <v>128</v>
      </c>
      <c r="B53" s="61">
        <f>$B$40*$B$52</f>
        <v>18.620345321532849</v>
      </c>
      <c r="C53" t="s">
        <v>112</v>
      </c>
      <c r="D53" t="s">
        <v>130</v>
      </c>
    </row>
    <row r="54" spans="1:15" x14ac:dyDescent="0.25">
      <c r="B54" s="62">
        <f>$B$53*2</f>
        <v>37.240690643065697</v>
      </c>
      <c r="C54" t="s">
        <v>112</v>
      </c>
      <c r="D54" t="s">
        <v>131</v>
      </c>
    </row>
    <row r="55" spans="1:15" x14ac:dyDescent="0.25">
      <c r="B55" s="62">
        <f>B53*10</f>
        <v>186.20345321532849</v>
      </c>
      <c r="C55" t="s">
        <v>112</v>
      </c>
      <c r="D55" t="s">
        <v>132</v>
      </c>
    </row>
    <row r="56" spans="1:15" x14ac:dyDescent="0.25">
      <c r="B56" s="40" t="s">
        <v>129</v>
      </c>
    </row>
    <row r="57" spans="1:15" ht="15" customHeight="1" x14ac:dyDescent="0.25">
      <c r="B57" s="63">
        <f>B53*3</f>
        <v>55.861035964598543</v>
      </c>
      <c r="C57" t="s">
        <v>112</v>
      </c>
      <c r="D57" t="s">
        <v>134</v>
      </c>
    </row>
    <row r="58" spans="1:15" x14ac:dyDescent="0.25">
      <c r="B58" s="63">
        <f t="shared" ref="B58:B59" si="0">B54*3</f>
        <v>111.72207192919709</v>
      </c>
      <c r="C58" t="s">
        <v>112</v>
      </c>
      <c r="D58" t="s">
        <v>135</v>
      </c>
    </row>
    <row r="59" spans="1:15" x14ac:dyDescent="0.25">
      <c r="B59" s="63">
        <f t="shared" si="0"/>
        <v>558.61035964598545</v>
      </c>
      <c r="C59" t="s">
        <v>112</v>
      </c>
      <c r="D59" t="s">
        <v>136</v>
      </c>
    </row>
    <row r="60" spans="1:15" ht="15.75" thickBot="1" x14ac:dyDescent="0.3">
      <c r="B60" s="63"/>
    </row>
    <row r="61" spans="1:15" ht="15" customHeight="1" x14ac:dyDescent="0.25">
      <c r="B61" s="88" t="s">
        <v>173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90"/>
    </row>
    <row r="62" spans="1:15" x14ac:dyDescent="0.25">
      <c r="B62" s="100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2"/>
    </row>
    <row r="63" spans="1:15" x14ac:dyDescent="0.25">
      <c r="B63" s="100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2"/>
    </row>
    <row r="64" spans="1:15" ht="15.75" thickBot="1" x14ac:dyDescent="0.3">
      <c r="B64" s="91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3"/>
    </row>
    <row r="65" spans="2:15" ht="15.75" customHeight="1" x14ac:dyDescent="0.25">
      <c r="B65" s="111" t="s">
        <v>137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3"/>
    </row>
    <row r="66" spans="2:15" ht="15.75" customHeight="1" x14ac:dyDescent="0.25"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6"/>
    </row>
    <row r="67" spans="2:15" x14ac:dyDescent="0.25">
      <c r="B67" s="11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6"/>
    </row>
    <row r="68" spans="2:15" ht="15.75" thickBot="1" x14ac:dyDescent="0.3"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9"/>
    </row>
    <row r="69" spans="2:15" x14ac:dyDescent="0.25"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2:15" x14ac:dyDescent="0.25">
      <c r="B70" s="65">
        <f>B53*1.7</f>
        <v>31.65458704660584</v>
      </c>
      <c r="C70" t="s">
        <v>112</v>
      </c>
      <c r="D70" t="s">
        <v>139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2:15" x14ac:dyDescent="0.25">
      <c r="B71" s="65">
        <f>B54*1.7</f>
        <v>63.309174093211681</v>
      </c>
      <c r="C71" t="s">
        <v>112</v>
      </c>
      <c r="D71" t="s">
        <v>140</v>
      </c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2:15" x14ac:dyDescent="0.25">
      <c r="B72" s="65">
        <f>B55*1.7</f>
        <v>316.54587046605843</v>
      </c>
      <c r="C72" t="s">
        <v>112</v>
      </c>
      <c r="D72" t="s">
        <v>141</v>
      </c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2:15" x14ac:dyDescent="0.25">
      <c r="B73" s="65">
        <f>B70*3</f>
        <v>94.963761139817521</v>
      </c>
      <c r="C73" t="s">
        <v>112</v>
      </c>
      <c r="D73" t="s">
        <v>142</v>
      </c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2:15" x14ac:dyDescent="0.25">
      <c r="B74" s="65">
        <f t="shared" ref="B74:B75" si="1">B71*3</f>
        <v>189.92752227963504</v>
      </c>
      <c r="C74" t="s">
        <v>112</v>
      </c>
      <c r="D74" t="s">
        <v>143</v>
      </c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2:15" x14ac:dyDescent="0.25">
      <c r="B75" s="65">
        <f t="shared" si="1"/>
        <v>949.6376113981753</v>
      </c>
      <c r="C75" t="s">
        <v>112</v>
      </c>
      <c r="D75" t="s">
        <v>144</v>
      </c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2:15" ht="15.75" thickBot="1" x14ac:dyDescent="0.3">
      <c r="B76" s="65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</row>
    <row r="77" spans="2:15" ht="15" customHeight="1" x14ac:dyDescent="0.25">
      <c r="B77" s="111" t="s">
        <v>138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3"/>
    </row>
    <row r="78" spans="2:15" x14ac:dyDescent="0.25"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6"/>
    </row>
    <row r="79" spans="2:15" x14ac:dyDescent="0.25"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6"/>
    </row>
    <row r="80" spans="2:15" x14ac:dyDescent="0.25"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6"/>
    </row>
    <row r="81" spans="2:27" ht="15.75" customHeight="1" thickBot="1" x14ac:dyDescent="0.3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9"/>
    </row>
    <row r="83" spans="2:27" ht="15.75" thickBot="1" x14ac:dyDescent="0.3">
      <c r="B83" s="40" t="s">
        <v>133</v>
      </c>
    </row>
    <row r="84" spans="2:27" ht="15" customHeight="1" x14ac:dyDescent="0.25">
      <c r="B84" s="88" t="s">
        <v>145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0"/>
      <c r="X84" s="103" t="s">
        <v>155</v>
      </c>
      <c r="Y84" s="104"/>
      <c r="Z84" s="104"/>
      <c r="AA84" s="105"/>
    </row>
    <row r="85" spans="2:27" x14ac:dyDescent="0.25"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2"/>
      <c r="X85" s="106"/>
      <c r="Y85" s="107"/>
      <c r="Z85" s="107"/>
      <c r="AA85" s="108"/>
    </row>
    <row r="86" spans="2:27" ht="15.75" thickBot="1" x14ac:dyDescent="0.3"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2"/>
      <c r="X86" s="106"/>
      <c r="Y86" s="107"/>
      <c r="Z86" s="109"/>
      <c r="AA86" s="110"/>
    </row>
    <row r="87" spans="2:27" x14ac:dyDescent="0.25"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2"/>
      <c r="X87" s="66" t="s">
        <v>146</v>
      </c>
      <c r="Y87" s="67">
        <v>1.6E-2</v>
      </c>
    </row>
    <row r="88" spans="2:27" x14ac:dyDescent="0.25"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2"/>
      <c r="X88" s="19" t="s">
        <v>147</v>
      </c>
      <c r="Y88" s="18">
        <v>0.21</v>
      </c>
    </row>
    <row r="89" spans="2:27" ht="15.75" thickBot="1" x14ac:dyDescent="0.3"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3"/>
      <c r="X89" s="19" t="s">
        <v>148</v>
      </c>
      <c r="Y89" s="18">
        <v>1.7500000000000002E-2</v>
      </c>
    </row>
    <row r="90" spans="2:27" ht="15.75" thickBot="1" x14ac:dyDescent="0.3">
      <c r="X90" s="19" t="s">
        <v>149</v>
      </c>
      <c r="Y90" s="18">
        <v>0.42</v>
      </c>
    </row>
    <row r="91" spans="2:27" x14ac:dyDescent="0.25">
      <c r="B91" s="75" t="s">
        <v>163</v>
      </c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7"/>
      <c r="X91" s="19" t="s">
        <v>150</v>
      </c>
      <c r="Y91" s="18">
        <v>2.5999999999999999E-2</v>
      </c>
    </row>
    <row r="92" spans="2:27" x14ac:dyDescent="0.25">
      <c r="B92" s="69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1"/>
      <c r="X92" s="19" t="s">
        <v>151</v>
      </c>
      <c r="Y92" s="18">
        <v>0.42</v>
      </c>
    </row>
    <row r="93" spans="2:27" ht="15.75" thickBot="1" x14ac:dyDescent="0.3">
      <c r="B93" s="72" t="s">
        <v>164</v>
      </c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4"/>
      <c r="X93" s="19" t="s">
        <v>152</v>
      </c>
      <c r="Y93" s="18">
        <v>5.5E-2</v>
      </c>
    </row>
    <row r="94" spans="2:27" x14ac:dyDescent="0.25">
      <c r="B94" s="75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7"/>
      <c r="X94" s="19" t="s">
        <v>153</v>
      </c>
      <c r="Y94" s="18">
        <v>0.5</v>
      </c>
    </row>
    <row r="95" spans="2:27" x14ac:dyDescent="0.25">
      <c r="B95" s="69" t="s">
        <v>165</v>
      </c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1"/>
      <c r="X95" s="19" t="s">
        <v>154</v>
      </c>
      <c r="Y95" s="18">
        <v>0.06</v>
      </c>
    </row>
    <row r="96" spans="2:27" ht="15.75" thickBot="1" x14ac:dyDescent="0.3">
      <c r="B96" s="7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4"/>
      <c r="X96" s="19" t="s">
        <v>156</v>
      </c>
      <c r="Y96" s="18">
        <v>0.96</v>
      </c>
    </row>
    <row r="97" spans="1:25" x14ac:dyDescent="0.25">
      <c r="B97" s="88" t="s">
        <v>166</v>
      </c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90"/>
      <c r="X97" s="19" t="s">
        <v>157</v>
      </c>
      <c r="Y97" s="18">
        <v>7.0000000000000007E-2</v>
      </c>
    </row>
    <row r="98" spans="1:25" ht="15.75" thickBot="1" x14ac:dyDescent="0.3"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3"/>
      <c r="X98" s="19" t="s">
        <v>158</v>
      </c>
      <c r="Y98" s="18">
        <v>1.05</v>
      </c>
    </row>
    <row r="99" spans="1:25" ht="15.75" thickBot="1" x14ac:dyDescent="0.3">
      <c r="X99" s="19" t="s">
        <v>159</v>
      </c>
      <c r="Y99" s="18">
        <v>0.1</v>
      </c>
    </row>
    <row r="100" spans="1:25" x14ac:dyDescent="0.25">
      <c r="B100" s="94" t="s">
        <v>167</v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6"/>
      <c r="X100" s="19" t="s">
        <v>160</v>
      </c>
      <c r="Y100" s="18">
        <v>1.2</v>
      </c>
    </row>
    <row r="101" spans="1:25" x14ac:dyDescent="0.25">
      <c r="B101" s="97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9"/>
      <c r="X101" s="19" t="s">
        <v>161</v>
      </c>
      <c r="Y101" s="18">
        <v>0.11</v>
      </c>
    </row>
    <row r="102" spans="1:25" ht="15.75" thickBot="1" x14ac:dyDescent="0.3"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1"/>
      <c r="X102" s="20" t="s">
        <v>162</v>
      </c>
      <c r="Y102" s="22">
        <v>1.45</v>
      </c>
    </row>
    <row r="103" spans="1:25" ht="15.75" thickBot="1" x14ac:dyDescent="0.3">
      <c r="B103" s="72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4"/>
    </row>
    <row r="104" spans="1:25" x14ac:dyDescent="0.25">
      <c r="Q104" s="79"/>
    </row>
    <row r="105" spans="1:25" x14ac:dyDescent="0.25">
      <c r="B105" s="59">
        <v>2.3E-2</v>
      </c>
      <c r="C105" t="s">
        <v>169</v>
      </c>
      <c r="D105" t="s">
        <v>168</v>
      </c>
    </row>
    <row r="106" spans="1:25" x14ac:dyDescent="0.25">
      <c r="B106" s="10">
        <f>$B$52</f>
        <v>504</v>
      </c>
      <c r="D106" t="s">
        <v>170</v>
      </c>
    </row>
    <row r="107" spans="1:25" x14ac:dyDescent="0.25">
      <c r="A107" t="s">
        <v>34</v>
      </c>
      <c r="B107" s="6">
        <v>1.9101299543362336E-2</v>
      </c>
      <c r="C107" t="s">
        <v>5</v>
      </c>
      <c r="D107" t="s">
        <v>33</v>
      </c>
    </row>
    <row r="108" spans="1:25" x14ac:dyDescent="0.25">
      <c r="A108" t="s">
        <v>35</v>
      </c>
      <c r="B108" s="6">
        <v>2.952019020337816E-2</v>
      </c>
      <c r="C108" t="s">
        <v>5</v>
      </c>
      <c r="D108" t="s">
        <v>36</v>
      </c>
    </row>
    <row r="109" spans="1:25" x14ac:dyDescent="0.25">
      <c r="A109" t="s">
        <v>40</v>
      </c>
      <c r="B109" s="13">
        <v>1.2E-2</v>
      </c>
      <c r="C109" t="s">
        <v>5</v>
      </c>
      <c r="D109" t="s">
        <v>118</v>
      </c>
      <c r="G109" s="55">
        <v>12.03381871231827</v>
      </c>
      <c r="H109" t="s">
        <v>119</v>
      </c>
    </row>
    <row r="110" spans="1:25" x14ac:dyDescent="0.25">
      <c r="A110" t="s">
        <v>39</v>
      </c>
      <c r="B110" s="13">
        <v>8.0000000000000002E-3</v>
      </c>
      <c r="C110" t="s">
        <v>5</v>
      </c>
      <c r="D110" t="s">
        <v>117</v>
      </c>
      <c r="G110">
        <v>8</v>
      </c>
      <c r="H110" t="s">
        <v>119</v>
      </c>
    </row>
    <row r="111" spans="1:25" x14ac:dyDescent="0.25">
      <c r="A111" t="s">
        <v>21</v>
      </c>
      <c r="B111" s="59">
        <v>0.11</v>
      </c>
      <c r="C111" t="s">
        <v>5</v>
      </c>
      <c r="D111" t="s">
        <v>23</v>
      </c>
    </row>
    <row r="112" spans="1:25" x14ac:dyDescent="0.25">
      <c r="A112" t="s">
        <v>22</v>
      </c>
      <c r="B112" s="59">
        <v>0.17</v>
      </c>
      <c r="C112" t="s">
        <v>5</v>
      </c>
      <c r="D112" t="s">
        <v>24</v>
      </c>
    </row>
    <row r="113" spans="1:10" x14ac:dyDescent="0.25">
      <c r="A113" t="s">
        <v>110</v>
      </c>
      <c r="B113" s="59">
        <v>0.03</v>
      </c>
      <c r="C113" t="s">
        <v>5</v>
      </c>
      <c r="D113" t="s">
        <v>109</v>
      </c>
    </row>
    <row r="114" spans="1:10" x14ac:dyDescent="0.25">
      <c r="B114" s="13">
        <f>B107+B108+B113*2</f>
        <v>0.10862148974674049</v>
      </c>
      <c r="C114" t="s">
        <v>5</v>
      </c>
      <c r="D114" t="s">
        <v>174</v>
      </c>
    </row>
    <row r="115" spans="1:10" ht="15.75" thickBot="1" x14ac:dyDescent="0.3">
      <c r="B115" s="13">
        <f>B107+B108+B113*2+B109*2</f>
        <v>0.13262148974674048</v>
      </c>
      <c r="C115" t="s">
        <v>5</v>
      </c>
      <c r="D115" t="s">
        <v>175</v>
      </c>
      <c r="H115" s="80"/>
    </row>
    <row r="116" spans="1:10" ht="15.75" thickBot="1" x14ac:dyDescent="0.3">
      <c r="B116" s="84">
        <f>AVERAGE(B114:B115)</f>
        <v>0.12062148974674049</v>
      </c>
      <c r="C116" t="s">
        <v>5</v>
      </c>
      <c r="D116" t="s">
        <v>176</v>
      </c>
    </row>
    <row r="117" spans="1:10" ht="15.75" thickBot="1" x14ac:dyDescent="0.3">
      <c r="B117" s="61">
        <f>$B$106*$B$116*$B$105</f>
        <v>1.3982443091442156</v>
      </c>
      <c r="C117" t="s">
        <v>177</v>
      </c>
      <c r="D117" t="s">
        <v>178</v>
      </c>
      <c r="G117" s="61">
        <f>$B$117*2</f>
        <v>2.7964886182884312</v>
      </c>
      <c r="H117" t="s">
        <v>177</v>
      </c>
      <c r="I117" t="s">
        <v>179</v>
      </c>
    </row>
    <row r="118" spans="1:10" ht="15.75" thickBot="1" x14ac:dyDescent="0.3">
      <c r="B118" s="61">
        <f>B117*3</f>
        <v>4.1947329274326464</v>
      </c>
      <c r="C118" t="s">
        <v>177</v>
      </c>
      <c r="G118" s="61">
        <f>B118*2</f>
        <v>8.3894658548652927</v>
      </c>
      <c r="H118" t="s">
        <v>177</v>
      </c>
    </row>
    <row r="120" spans="1:10" x14ac:dyDescent="0.25">
      <c r="B120" s="60">
        <v>55.861035964598543</v>
      </c>
      <c r="C120" t="s">
        <v>112</v>
      </c>
      <c r="D120" t="s">
        <v>134</v>
      </c>
    </row>
    <row r="121" spans="1:10" x14ac:dyDescent="0.25">
      <c r="B121" s="60">
        <v>111.72207192919709</v>
      </c>
      <c r="C121" t="s">
        <v>112</v>
      </c>
      <c r="D121" t="s">
        <v>135</v>
      </c>
    </row>
    <row r="122" spans="1:10" x14ac:dyDescent="0.25">
      <c r="B122" s="60">
        <v>558.61035964598545</v>
      </c>
      <c r="C122" t="s">
        <v>112</v>
      </c>
      <c r="D122" t="s">
        <v>136</v>
      </c>
    </row>
    <row r="123" spans="1:10" x14ac:dyDescent="0.25">
      <c r="B123" s="81"/>
    </row>
    <row r="124" spans="1:10" x14ac:dyDescent="0.25">
      <c r="B124" s="83" t="s">
        <v>188</v>
      </c>
      <c r="C124" t="s">
        <v>187</v>
      </c>
      <c r="H124" t="s">
        <v>186</v>
      </c>
    </row>
    <row r="125" spans="1:10" x14ac:dyDescent="0.25">
      <c r="D125" t="s">
        <v>183</v>
      </c>
      <c r="E125" t="s">
        <v>184</v>
      </c>
      <c r="F125" t="s">
        <v>185</v>
      </c>
      <c r="H125" t="s">
        <v>183</v>
      </c>
      <c r="I125" t="s">
        <v>184</v>
      </c>
      <c r="J125" t="s">
        <v>185</v>
      </c>
    </row>
    <row r="126" spans="1:10" x14ac:dyDescent="0.25">
      <c r="B126" s="14" t="s">
        <v>180</v>
      </c>
      <c r="C126" s="14">
        <v>14</v>
      </c>
      <c r="D126" s="60">
        <f>($B$120-C126)/$B$118</f>
        <v>9.9794281754712966</v>
      </c>
      <c r="E126" s="60">
        <f>($B$121-C126)/$B$118</f>
        <v>23.296375149444167</v>
      </c>
      <c r="F126" s="60">
        <f>($B$122-C126)/$B$118</f>
        <v>129.83195094122715</v>
      </c>
      <c r="H126" s="60">
        <f>$C$126*D126</f>
        <v>139.71199445659815</v>
      </c>
      <c r="I126" s="60">
        <f t="shared" ref="I126:J126" si="2">$C$126*E126</f>
        <v>326.14925209221832</v>
      </c>
      <c r="J126" s="60">
        <f t="shared" si="2"/>
        <v>1817.64731317718</v>
      </c>
    </row>
    <row r="127" spans="1:10" x14ac:dyDescent="0.25">
      <c r="B127" s="85" t="s">
        <v>181</v>
      </c>
      <c r="C127" s="85">
        <v>26</v>
      </c>
      <c r="D127" s="86">
        <f t="shared" ref="D127:D128" si="3">($B$120-C127)/$B$118</f>
        <v>7.1186977767556607</v>
      </c>
      <c r="E127" s="86">
        <f t="shared" ref="E127:E128" si="4">($B$121-C127)/$B$118</f>
        <v>20.435644750728532</v>
      </c>
      <c r="F127" s="86">
        <f t="shared" ref="F127:F128" si="5">($B$122-C127)/$B$118</f>
        <v>126.9712205425115</v>
      </c>
      <c r="G127" s="87"/>
      <c r="H127" s="86">
        <f>$C$127*D127</f>
        <v>185.08614219564717</v>
      </c>
      <c r="I127" s="86">
        <f t="shared" ref="I127:J127" si="6">$C$127*E127</f>
        <v>531.32676351894179</v>
      </c>
      <c r="J127" s="86">
        <f t="shared" si="6"/>
        <v>3301.251734105299</v>
      </c>
    </row>
    <row r="128" spans="1:10" x14ac:dyDescent="0.25">
      <c r="B128" s="14" t="s">
        <v>182</v>
      </c>
      <c r="C128" s="14">
        <v>50</v>
      </c>
      <c r="D128" s="82">
        <f t="shared" si="3"/>
        <v>1.3972369793243891</v>
      </c>
      <c r="E128" s="60">
        <f t="shared" si="4"/>
        <v>14.71418395329726</v>
      </c>
      <c r="F128" s="60">
        <f t="shared" si="5"/>
        <v>121.24975974508024</v>
      </c>
      <c r="H128" s="82">
        <f>$C$128*D128</f>
        <v>69.861848966219455</v>
      </c>
      <c r="I128" s="60">
        <f t="shared" ref="I128:J128" si="7">$C$128*E128</f>
        <v>735.70919766486304</v>
      </c>
      <c r="J128" s="60">
        <f t="shared" si="7"/>
        <v>6062.4879872540123</v>
      </c>
    </row>
    <row r="129" spans="2:3" x14ac:dyDescent="0.25">
      <c r="B129" s="14"/>
      <c r="C129" s="14"/>
    </row>
  </sheetData>
  <mergeCells count="15">
    <mergeCell ref="R1:R3"/>
    <mergeCell ref="A41:A42"/>
    <mergeCell ref="D41:E42"/>
    <mergeCell ref="W1:X2"/>
    <mergeCell ref="Y1:Y2"/>
    <mergeCell ref="S1:S2"/>
    <mergeCell ref="T1:V1"/>
    <mergeCell ref="T2:V2"/>
    <mergeCell ref="B97:O98"/>
    <mergeCell ref="B100:O101"/>
    <mergeCell ref="B61:O64"/>
    <mergeCell ref="B84:O89"/>
    <mergeCell ref="X84:AA86"/>
    <mergeCell ref="B77:O81"/>
    <mergeCell ref="B65:O68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генератора</dc:title>
  <dc:creator>Андрей Вальчук</dc:creator>
  <cp:lastModifiedBy>Андрей Вальчук</cp:lastModifiedBy>
  <dcterms:created xsi:type="dcterms:W3CDTF">2018-12-13T18:54:16Z</dcterms:created>
  <dcterms:modified xsi:type="dcterms:W3CDTF">2018-12-15T18:19:45Z</dcterms:modified>
</cp:coreProperties>
</file>